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7590"/>
  </bookViews>
  <sheets>
    <sheet name="PV_HP_self" sheetId="2" r:id="rId1"/>
  </sheets>
  <definedNames>
    <definedName name="PHPP_language">PV_HP_self!$T$19:$U$19</definedName>
    <definedName name="user_theta">PV_HP_self!$T$70:$U$70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2" l="1"/>
  <c r="G109" i="2"/>
  <c r="H109" i="2"/>
  <c r="I109" i="2"/>
  <c r="J109" i="2"/>
  <c r="K109" i="2"/>
  <c r="L109" i="2"/>
  <c r="M109" i="2"/>
  <c r="N109" i="2"/>
  <c r="O109" i="2"/>
  <c r="P109" i="2"/>
  <c r="Q109" i="2"/>
  <c r="L2" i="2" l="1"/>
  <c r="C101" i="2" l="1"/>
  <c r="E59" i="2"/>
  <c r="D59" i="2"/>
  <c r="B37" i="2" l="1"/>
  <c r="F59" i="2"/>
  <c r="F60" i="2" l="1"/>
  <c r="F75" i="2"/>
  <c r="T138" i="2" l="1"/>
  <c r="S139" i="2"/>
  <c r="T139" i="2"/>
  <c r="U139" i="2"/>
  <c r="U138" i="2"/>
  <c r="S138" i="2"/>
  <c r="R85" i="2"/>
  <c r="E58" i="2"/>
  <c r="D58" i="2"/>
  <c r="E57" i="2"/>
  <c r="D57" i="2"/>
  <c r="B36" i="2" l="1"/>
  <c r="B35" i="2"/>
  <c r="G115" i="2" l="1"/>
  <c r="H115" i="2" s="1"/>
  <c r="I115" i="2" s="1"/>
  <c r="J115" i="2" s="1"/>
  <c r="K115" i="2" s="1"/>
  <c r="L115" i="2" s="1"/>
  <c r="M115" i="2" s="1"/>
  <c r="N115" i="2" s="1"/>
  <c r="O115" i="2" s="1"/>
  <c r="P115" i="2" s="1"/>
  <c r="Q115" i="2" s="1"/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T17" i="2"/>
  <c r="E56" i="2" l="1"/>
  <c r="D56" i="2"/>
  <c r="D44" i="2" l="1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G43" i="2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G44" i="2"/>
  <c r="I44" i="2"/>
  <c r="P44" i="2"/>
  <c r="O44" i="2"/>
  <c r="N44" i="2"/>
  <c r="F50" i="2"/>
  <c r="H44" i="2"/>
  <c r="F44" i="2"/>
  <c r="L44" i="2"/>
  <c r="J44" i="2"/>
  <c r="K44" i="2"/>
  <c r="Q44" i="2"/>
  <c r="M44" i="2"/>
  <c r="I63" i="2" l="1"/>
  <c r="F51" i="2"/>
  <c r="F67" i="2" l="1"/>
  <c r="F82" i="2" s="1"/>
  <c r="N67" i="2"/>
  <c r="N82" i="2" s="1"/>
  <c r="G67" i="2"/>
  <c r="G82" i="2" s="1"/>
  <c r="O67" i="2"/>
  <c r="O82" i="2" s="1"/>
  <c r="M67" i="2"/>
  <c r="M82" i="2" s="1"/>
  <c r="H67" i="2"/>
  <c r="H82" i="2" s="1"/>
  <c r="P67" i="2"/>
  <c r="P82" i="2" s="1"/>
  <c r="Q67" i="2"/>
  <c r="Q82" i="2" s="1"/>
  <c r="J67" i="2"/>
  <c r="J82" i="2" s="1"/>
  <c r="K67" i="2"/>
  <c r="K82" i="2" s="1"/>
  <c r="I67" i="2"/>
  <c r="I82" i="2" s="1"/>
  <c r="L67" i="2"/>
  <c r="L82" i="2" s="1"/>
  <c r="G21" i="2" l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G79" i="2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H53" i="2"/>
  <c r="K53" i="2"/>
  <c r="F53" i="2"/>
  <c r="P53" i="2"/>
  <c r="Q53" i="2"/>
  <c r="I53" i="2"/>
  <c r="G53" i="2"/>
  <c r="L53" i="2"/>
  <c r="G56" i="2"/>
  <c r="N53" i="2"/>
  <c r="O53" i="2"/>
  <c r="H56" i="2"/>
  <c r="F48" i="2"/>
  <c r="F56" i="2"/>
  <c r="I56" i="2"/>
  <c r="M53" i="2"/>
  <c r="J53" i="2"/>
  <c r="I97" i="2" l="1"/>
  <c r="G97" i="2"/>
  <c r="I64" i="2"/>
  <c r="H97" i="2"/>
  <c r="F97" i="2"/>
  <c r="K56" i="2"/>
  <c r="J56" i="2"/>
  <c r="K97" i="2" l="1"/>
  <c r="J97" i="2"/>
  <c r="F118" i="2" l="1"/>
  <c r="L118" i="2"/>
  <c r="O118" i="2"/>
  <c r="I118" i="2"/>
  <c r="N118" i="2"/>
  <c r="G118" i="2"/>
  <c r="P118" i="2"/>
  <c r="Q118" i="2"/>
  <c r="H118" i="2"/>
  <c r="M3" i="2"/>
  <c r="M118" i="2"/>
  <c r="J118" i="2"/>
  <c r="F112" i="2"/>
  <c r="K118" i="2"/>
  <c r="O56" i="2"/>
  <c r="N56" i="2"/>
  <c r="M56" i="2"/>
  <c r="L56" i="2"/>
  <c r="T129" i="2" l="1"/>
  <c r="U129" i="2"/>
  <c r="S129" i="2"/>
  <c r="O97" i="2"/>
  <c r="O129" i="2" s="1"/>
  <c r="N97" i="2"/>
  <c r="N129" i="2" s="1"/>
  <c r="M97" i="2"/>
  <c r="M129" i="2" s="1"/>
  <c r="L97" i="2"/>
  <c r="L129" i="2" s="1"/>
  <c r="G129" i="2"/>
  <c r="K129" i="2"/>
  <c r="I129" i="2"/>
  <c r="J129" i="2"/>
  <c r="H129" i="2"/>
  <c r="F129" i="2"/>
  <c r="Q56" i="2"/>
  <c r="P56" i="2"/>
  <c r="Q97" i="2" l="1"/>
  <c r="Q129" i="2" s="1"/>
  <c r="P97" i="2"/>
  <c r="P129" i="2" l="1"/>
  <c r="R97" i="2"/>
  <c r="R129" i="2" l="1"/>
  <c r="I52" i="2" l="1"/>
  <c r="M52" i="2"/>
  <c r="G52" i="2"/>
  <c r="N52" i="2"/>
  <c r="K52" i="2"/>
  <c r="P52" i="2"/>
  <c r="F52" i="2"/>
  <c r="Q52" i="2"/>
  <c r="L52" i="2"/>
  <c r="O52" i="2"/>
  <c r="J52" i="2"/>
  <c r="H52" i="2"/>
  <c r="F64" i="2" l="1"/>
  <c r="K63" i="2" l="1"/>
  <c r="K64" i="2"/>
  <c r="J54" i="2" l="1"/>
  <c r="J83" i="2" l="1"/>
  <c r="J119" i="2" s="1"/>
  <c r="N55" i="2"/>
  <c r="N54" i="2"/>
  <c r="K54" i="2"/>
  <c r="J55" i="2"/>
  <c r="I54" i="2"/>
  <c r="I83" i="2" l="1"/>
  <c r="I119" i="2" s="1"/>
  <c r="J84" i="2"/>
  <c r="J120" i="2" s="1"/>
  <c r="K83" i="2"/>
  <c r="K119" i="2" s="1"/>
  <c r="N83" i="2"/>
  <c r="N119" i="2" s="1"/>
  <c r="N84" i="2"/>
  <c r="N120" i="2" s="1"/>
  <c r="I55" i="2"/>
  <c r="Q54" i="2"/>
  <c r="G54" i="2"/>
  <c r="O54" i="2"/>
  <c r="P54" i="2"/>
  <c r="H55" i="2"/>
  <c r="K55" i="2"/>
  <c r="M54" i="2"/>
  <c r="L54" i="2"/>
  <c r="H54" i="2"/>
  <c r="H83" i="2" l="1"/>
  <c r="H119" i="2" s="1"/>
  <c r="L83" i="2"/>
  <c r="L119" i="2" s="1"/>
  <c r="M83" i="2"/>
  <c r="M119" i="2" s="1"/>
  <c r="K84" i="2"/>
  <c r="K120" i="2" s="1"/>
  <c r="H84" i="2"/>
  <c r="H120" i="2" s="1"/>
  <c r="P83" i="2"/>
  <c r="P119" i="2" s="1"/>
  <c r="O83" i="2"/>
  <c r="O119" i="2" s="1"/>
  <c r="G83" i="2"/>
  <c r="G119" i="2" s="1"/>
  <c r="Q83" i="2"/>
  <c r="Q119" i="2" s="1"/>
  <c r="I84" i="2"/>
  <c r="I120" i="2" s="1"/>
  <c r="F54" i="2"/>
  <c r="F55" i="2"/>
  <c r="O55" i="2"/>
  <c r="M55" i="2"/>
  <c r="P55" i="2"/>
  <c r="L55" i="2"/>
  <c r="G55" i="2"/>
  <c r="Q55" i="2"/>
  <c r="Q84" i="2" l="1"/>
  <c r="Q120" i="2" s="1"/>
  <c r="G84" i="2"/>
  <c r="G120" i="2" s="1"/>
  <c r="L84" i="2"/>
  <c r="L120" i="2" s="1"/>
  <c r="P84" i="2"/>
  <c r="P120" i="2" s="1"/>
  <c r="M84" i="2"/>
  <c r="M120" i="2" s="1"/>
  <c r="O84" i="2"/>
  <c r="O120" i="2" s="1"/>
  <c r="F84" i="2"/>
  <c r="F83" i="2"/>
  <c r="F119" i="2" l="1"/>
  <c r="R83" i="2"/>
  <c r="R84" i="2"/>
  <c r="F120" i="2"/>
  <c r="R120" i="2" l="1"/>
  <c r="R119" i="2"/>
  <c r="F49" i="2" l="1"/>
  <c r="L66" i="2" l="1"/>
  <c r="L81" i="2" s="1"/>
  <c r="N66" i="2"/>
  <c r="N81" i="2" s="1"/>
  <c r="F66" i="2"/>
  <c r="F81" i="2" s="1"/>
  <c r="H66" i="2"/>
  <c r="H81" i="2" s="1"/>
  <c r="I66" i="2"/>
  <c r="I81" i="2" s="1"/>
  <c r="M66" i="2"/>
  <c r="M81" i="2" s="1"/>
  <c r="O66" i="2"/>
  <c r="O81" i="2" s="1"/>
  <c r="G66" i="2"/>
  <c r="G81" i="2" s="1"/>
  <c r="Q66" i="2"/>
  <c r="Q81" i="2" s="1"/>
  <c r="P66" i="2"/>
  <c r="P81" i="2" s="1"/>
  <c r="K66" i="2"/>
  <c r="K81" i="2" s="1"/>
  <c r="J66" i="2"/>
  <c r="J81" i="2" s="1"/>
  <c r="G117" i="2" l="1"/>
  <c r="O117" i="2"/>
  <c r="M117" i="2"/>
  <c r="I117" i="2"/>
  <c r="J117" i="2"/>
  <c r="H117" i="2"/>
  <c r="K117" i="2"/>
  <c r="F117" i="2"/>
  <c r="P117" i="2"/>
  <c r="N117" i="2"/>
  <c r="Q117" i="2"/>
  <c r="L117" i="2"/>
  <c r="F47" i="2"/>
  <c r="I65" i="2" l="1"/>
  <c r="I80" i="2" s="1"/>
  <c r="H65" i="2"/>
  <c r="H80" i="2" s="1"/>
  <c r="J65" i="2"/>
  <c r="J80" i="2" s="1"/>
  <c r="G65" i="2"/>
  <c r="G80" i="2" s="1"/>
  <c r="N65" i="2"/>
  <c r="N80" i="2" s="1"/>
  <c r="O65" i="2"/>
  <c r="O80" i="2" s="1"/>
  <c r="K65" i="2"/>
  <c r="K80" i="2" s="1"/>
  <c r="L65" i="2"/>
  <c r="L80" i="2" s="1"/>
  <c r="P65" i="2"/>
  <c r="P80" i="2" s="1"/>
  <c r="Q65" i="2"/>
  <c r="Q80" i="2" s="1"/>
  <c r="F65" i="2"/>
  <c r="F80" i="2" s="1"/>
  <c r="M65" i="2"/>
  <c r="M80" i="2" s="1"/>
  <c r="L88" i="2" l="1"/>
  <c r="L116" i="2"/>
  <c r="L87" i="2"/>
  <c r="K88" i="2"/>
  <c r="K116" i="2"/>
  <c r="K87" i="2"/>
  <c r="O116" i="2"/>
  <c r="O88" i="2"/>
  <c r="O87" i="2"/>
  <c r="N88" i="2"/>
  <c r="N116" i="2"/>
  <c r="N87" i="2"/>
  <c r="M88" i="2"/>
  <c r="M116" i="2"/>
  <c r="M87" i="2"/>
  <c r="G116" i="2"/>
  <c r="G88" i="2"/>
  <c r="G87" i="2"/>
  <c r="F116" i="2"/>
  <c r="F88" i="2"/>
  <c r="F87" i="2"/>
  <c r="J116" i="2"/>
  <c r="J88" i="2"/>
  <c r="J87" i="2"/>
  <c r="Q88" i="2"/>
  <c r="Q116" i="2"/>
  <c r="Q87" i="2"/>
  <c r="H88" i="2"/>
  <c r="H116" i="2"/>
  <c r="H87" i="2"/>
  <c r="P88" i="2"/>
  <c r="P116" i="2"/>
  <c r="P87" i="2"/>
  <c r="I116" i="2"/>
  <c r="I88" i="2"/>
  <c r="I87" i="2"/>
  <c r="K45" i="2"/>
  <c r="H45" i="2"/>
  <c r="O45" i="2"/>
  <c r="L45" i="2"/>
  <c r="F45" i="2"/>
  <c r="I45" i="2"/>
  <c r="Q45" i="2"/>
  <c r="P45" i="2"/>
  <c r="J45" i="2"/>
  <c r="M45" i="2"/>
  <c r="G45" i="2"/>
  <c r="N45" i="2"/>
  <c r="K42" i="2" l="1"/>
  <c r="K78" i="2" l="1"/>
  <c r="F42" i="2"/>
  <c r="F78" i="2" l="1"/>
  <c r="L42" i="2"/>
  <c r="M42" i="2"/>
  <c r="M78" i="2" l="1"/>
  <c r="L78" i="2"/>
  <c r="B87" i="2"/>
  <c r="U91" i="2"/>
  <c r="J42" i="2"/>
  <c r="G42" i="2"/>
  <c r="H42" i="2"/>
  <c r="H78" i="2" l="1"/>
  <c r="U93" i="2" s="1"/>
  <c r="G78" i="2"/>
  <c r="J78" i="2"/>
  <c r="F89" i="2"/>
  <c r="F121" i="2" s="1"/>
  <c r="O89" i="2"/>
  <c r="O121" i="2" s="1"/>
  <c r="K89" i="2"/>
  <c r="K121" i="2" s="1"/>
  <c r="M89" i="2"/>
  <c r="M121" i="2" s="1"/>
  <c r="H89" i="2"/>
  <c r="H121" i="2" s="1"/>
  <c r="J89" i="2"/>
  <c r="J121" i="2" s="1"/>
  <c r="Q89" i="2"/>
  <c r="Q121" i="2" s="1"/>
  <c r="G89" i="2"/>
  <c r="G121" i="2" s="1"/>
  <c r="I89" i="2"/>
  <c r="I121" i="2" s="1"/>
  <c r="N89" i="2"/>
  <c r="N121" i="2" s="1"/>
  <c r="L89" i="2"/>
  <c r="L121" i="2" s="1"/>
  <c r="P89" i="2"/>
  <c r="P121" i="2" s="1"/>
  <c r="L91" i="2" l="1"/>
  <c r="L123" i="2" s="1"/>
  <c r="M91" i="2"/>
  <c r="M123" i="2" s="1"/>
  <c r="H91" i="2"/>
  <c r="H123" i="2" s="1"/>
  <c r="N91" i="2"/>
  <c r="N123" i="2" s="1"/>
  <c r="O91" i="2"/>
  <c r="O123" i="2" s="1"/>
  <c r="I91" i="2"/>
  <c r="I123" i="2" s="1"/>
  <c r="J91" i="2"/>
  <c r="J123" i="2" s="1"/>
  <c r="F91" i="2"/>
  <c r="F123" i="2" s="1"/>
  <c r="Q91" i="2"/>
  <c r="K91" i="2"/>
  <c r="P91" i="2"/>
  <c r="G91" i="2"/>
  <c r="B88" i="2"/>
  <c r="U92" i="2"/>
  <c r="R91" i="2" l="1"/>
  <c r="R123" i="2" s="1"/>
  <c r="G123" i="2"/>
  <c r="K123" i="2"/>
  <c r="Q123" i="2"/>
  <c r="P123" i="2"/>
  <c r="O90" i="2"/>
  <c r="O122" i="2" s="1"/>
  <c r="J90" i="2"/>
  <c r="J122" i="2" s="1"/>
  <c r="H90" i="2"/>
  <c r="H122" i="2" s="1"/>
  <c r="K90" i="2"/>
  <c r="K122" i="2" s="1"/>
  <c r="L90" i="2"/>
  <c r="L122" i="2" s="1"/>
  <c r="G90" i="2"/>
  <c r="G122" i="2" s="1"/>
  <c r="Q90" i="2"/>
  <c r="Q122" i="2" s="1"/>
  <c r="M90" i="2"/>
  <c r="M122" i="2" s="1"/>
  <c r="F90" i="2"/>
  <c r="F122" i="2" s="1"/>
  <c r="I90" i="2"/>
  <c r="I122" i="2" s="1"/>
  <c r="N90" i="2"/>
  <c r="N122" i="2" s="1"/>
  <c r="P90" i="2"/>
  <c r="P122" i="2" s="1"/>
  <c r="T91" i="2" l="1"/>
  <c r="S91" i="2"/>
  <c r="H92" i="2"/>
  <c r="H124" i="2" s="1"/>
  <c r="N92" i="2"/>
  <c r="N124" i="2" s="1"/>
  <c r="O92" i="2"/>
  <c r="O124" i="2" s="1"/>
  <c r="F92" i="2"/>
  <c r="F93" i="2" s="1"/>
  <c r="K92" i="2"/>
  <c r="K93" i="2" s="1"/>
  <c r="K125" i="2" s="1"/>
  <c r="L92" i="2"/>
  <c r="L124" i="2" s="1"/>
  <c r="Q92" i="2"/>
  <c r="Q124" i="2" s="1"/>
  <c r="I92" i="2"/>
  <c r="G92" i="2"/>
  <c r="M92" i="2"/>
  <c r="P92" i="2"/>
  <c r="J92" i="2"/>
  <c r="K124" i="2" l="1"/>
  <c r="H93" i="2"/>
  <c r="L93" i="2"/>
  <c r="L125" i="2" s="1"/>
  <c r="O93" i="2"/>
  <c r="O125" i="2" s="1"/>
  <c r="F124" i="2"/>
  <c r="N93" i="2"/>
  <c r="N125" i="2" s="1"/>
  <c r="Q93" i="2"/>
  <c r="Q125" i="2" s="1"/>
  <c r="R92" i="2"/>
  <c r="T92" i="2" s="1"/>
  <c r="J124" i="2"/>
  <c r="J93" i="2"/>
  <c r="I124" i="2"/>
  <c r="I93" i="2"/>
  <c r="G124" i="2"/>
  <c r="G93" i="2"/>
  <c r="H125" i="2"/>
  <c r="M124" i="2"/>
  <c r="M93" i="2"/>
  <c r="P124" i="2"/>
  <c r="P93" i="2"/>
  <c r="F125" i="2"/>
  <c r="S92" i="2" l="1"/>
  <c r="R124" i="2"/>
  <c r="R93" i="2"/>
  <c r="T93" i="2" s="1"/>
  <c r="M125" i="2"/>
  <c r="I125" i="2"/>
  <c r="G125" i="2"/>
  <c r="P125" i="2"/>
  <c r="J125" i="2"/>
  <c r="S93" i="2" l="1"/>
  <c r="R125" i="2"/>
  <c r="O46" i="2" l="1"/>
  <c r="M46" i="2"/>
  <c r="H46" i="2"/>
  <c r="P46" i="2"/>
  <c r="G46" i="2"/>
  <c r="N46" i="2"/>
  <c r="L46" i="2"/>
  <c r="K46" i="2"/>
  <c r="I46" i="2"/>
  <c r="Q46" i="2"/>
  <c r="F46" i="2"/>
  <c r="J46" i="2"/>
  <c r="F58" i="2" l="1"/>
  <c r="L95" i="2" l="1"/>
  <c r="L127" i="2" s="1"/>
  <c r="J95" i="2"/>
  <c r="J127" i="2" s="1"/>
  <c r="O95" i="2"/>
  <c r="O127" i="2" s="1"/>
  <c r="K95" i="2"/>
  <c r="K127" i="2" s="1"/>
  <c r="I95" i="2"/>
  <c r="I127" i="2" s="1"/>
  <c r="G95" i="2"/>
  <c r="G127" i="2" s="1"/>
  <c r="P95" i="2"/>
  <c r="P127" i="2" s="1"/>
  <c r="Q95" i="2"/>
  <c r="Q127" i="2" s="1"/>
  <c r="M95" i="2"/>
  <c r="M127" i="2" s="1"/>
  <c r="H95" i="2"/>
  <c r="H127" i="2" s="1"/>
  <c r="N95" i="2"/>
  <c r="N127" i="2" s="1"/>
  <c r="F95" i="2"/>
  <c r="R95" i="2" l="1"/>
  <c r="R127" i="2" s="1"/>
  <c r="F127" i="2"/>
  <c r="F57" i="2"/>
  <c r="L94" i="2" l="1"/>
  <c r="Q94" i="2"/>
  <c r="F94" i="2"/>
  <c r="J94" i="2"/>
  <c r="M94" i="2"/>
  <c r="G94" i="2"/>
  <c r="H94" i="2"/>
  <c r="P94" i="2"/>
  <c r="I94" i="2"/>
  <c r="N94" i="2"/>
  <c r="O94" i="2"/>
  <c r="K94" i="2"/>
  <c r="P126" i="2" l="1"/>
  <c r="P101" i="2"/>
  <c r="P96" i="2"/>
  <c r="H126" i="2"/>
  <c r="H101" i="2"/>
  <c r="H96" i="2"/>
  <c r="G126" i="2"/>
  <c r="G101" i="2"/>
  <c r="G96" i="2"/>
  <c r="M126" i="2"/>
  <c r="M101" i="2"/>
  <c r="M96" i="2"/>
  <c r="K126" i="2"/>
  <c r="K96" i="2"/>
  <c r="K101" i="2"/>
  <c r="J126" i="2"/>
  <c r="J101" i="2"/>
  <c r="J96" i="2"/>
  <c r="O126" i="2"/>
  <c r="O101" i="2"/>
  <c r="O96" i="2"/>
  <c r="R94" i="2"/>
  <c r="R126" i="2" s="1"/>
  <c r="F126" i="2"/>
  <c r="F101" i="2"/>
  <c r="F96" i="2"/>
  <c r="N126" i="2"/>
  <c r="N101" i="2"/>
  <c r="N96" i="2"/>
  <c r="Q126" i="2"/>
  <c r="Q101" i="2"/>
  <c r="Q96" i="2"/>
  <c r="I126" i="2"/>
  <c r="I101" i="2"/>
  <c r="I96" i="2"/>
  <c r="L126" i="2"/>
  <c r="L101" i="2"/>
  <c r="L96" i="2"/>
  <c r="I104" i="2" l="1"/>
  <c r="I136" i="2" s="1"/>
  <c r="I98" i="2"/>
  <c r="I102" i="2"/>
  <c r="I128" i="2"/>
  <c r="Q104" i="2"/>
  <c r="Q136" i="2" s="1"/>
  <c r="Q98" i="2"/>
  <c r="Q102" i="2"/>
  <c r="Q128" i="2"/>
  <c r="L102" i="2"/>
  <c r="L104" i="2"/>
  <c r="L136" i="2" s="1"/>
  <c r="L98" i="2"/>
  <c r="L128" i="2"/>
  <c r="L133" i="2"/>
  <c r="L107" i="2"/>
  <c r="L139" i="2" s="1"/>
  <c r="L106" i="2"/>
  <c r="L138" i="2" s="1"/>
  <c r="K107" i="2"/>
  <c r="K139" i="2" s="1"/>
  <c r="K106" i="2"/>
  <c r="K138" i="2" s="1"/>
  <c r="K133" i="2"/>
  <c r="M106" i="2"/>
  <c r="M138" i="2" s="1"/>
  <c r="M107" i="2"/>
  <c r="M139" i="2" s="1"/>
  <c r="M133" i="2"/>
  <c r="P106" i="2"/>
  <c r="P138" i="2" s="1"/>
  <c r="P107" i="2"/>
  <c r="P139" i="2" s="1"/>
  <c r="P133" i="2"/>
  <c r="O104" i="2"/>
  <c r="O136" i="2" s="1"/>
  <c r="O102" i="2"/>
  <c r="O98" i="2"/>
  <c r="O128" i="2"/>
  <c r="K102" i="2"/>
  <c r="K98" i="2"/>
  <c r="K104" i="2"/>
  <c r="K136" i="2" s="1"/>
  <c r="K128" i="2"/>
  <c r="G128" i="2"/>
  <c r="G98" i="2"/>
  <c r="G102" i="2"/>
  <c r="G104" i="2"/>
  <c r="G136" i="2" s="1"/>
  <c r="O107" i="2"/>
  <c r="O139" i="2" s="1"/>
  <c r="O106" i="2"/>
  <c r="O138" i="2" s="1"/>
  <c r="O133" i="2"/>
  <c r="G106" i="2"/>
  <c r="G138" i="2" s="1"/>
  <c r="G133" i="2"/>
  <c r="G107" i="2"/>
  <c r="G139" i="2" s="1"/>
  <c r="H102" i="2"/>
  <c r="H128" i="2"/>
  <c r="H104" i="2"/>
  <c r="H136" i="2" s="1"/>
  <c r="H98" i="2"/>
  <c r="F104" i="2"/>
  <c r="F103" i="2" s="1"/>
  <c r="F98" i="2"/>
  <c r="F102" i="2"/>
  <c r="R96" i="2"/>
  <c r="V97" i="2" s="1"/>
  <c r="V128" i="2" s="1"/>
  <c r="F128" i="2"/>
  <c r="J102" i="2"/>
  <c r="J98" i="2"/>
  <c r="J128" i="2"/>
  <c r="J104" i="2"/>
  <c r="J136" i="2" s="1"/>
  <c r="H133" i="2"/>
  <c r="H107" i="2"/>
  <c r="H139" i="2" s="1"/>
  <c r="H106" i="2"/>
  <c r="H138" i="2" s="1"/>
  <c r="N98" i="2"/>
  <c r="N102" i="2"/>
  <c r="N128" i="2"/>
  <c r="N104" i="2"/>
  <c r="N136" i="2" s="1"/>
  <c r="N107" i="2"/>
  <c r="N139" i="2" s="1"/>
  <c r="N106" i="2"/>
  <c r="N138" i="2" s="1"/>
  <c r="N133" i="2"/>
  <c r="F106" i="2"/>
  <c r="F138" i="2" s="1"/>
  <c r="R101" i="2"/>
  <c r="F107" i="2"/>
  <c r="F139" i="2" s="1"/>
  <c r="F133" i="2"/>
  <c r="J107" i="2"/>
  <c r="J139" i="2" s="1"/>
  <c r="J106" i="2"/>
  <c r="J138" i="2" s="1"/>
  <c r="J133" i="2"/>
  <c r="I107" i="2"/>
  <c r="I139" i="2" s="1"/>
  <c r="I106" i="2"/>
  <c r="I138" i="2" s="1"/>
  <c r="I133" i="2"/>
  <c r="Q106" i="2"/>
  <c r="Q138" i="2" s="1"/>
  <c r="Q133" i="2"/>
  <c r="Q107" i="2"/>
  <c r="Q139" i="2" s="1"/>
  <c r="M98" i="2"/>
  <c r="M102" i="2"/>
  <c r="M104" i="2"/>
  <c r="M136" i="2" s="1"/>
  <c r="M128" i="2"/>
  <c r="P104" i="2"/>
  <c r="P136" i="2" s="1"/>
  <c r="P102" i="2"/>
  <c r="P128" i="2"/>
  <c r="P98" i="2"/>
  <c r="I103" i="2" l="1"/>
  <c r="I135" i="2" s="1"/>
  <c r="M103" i="2"/>
  <c r="M135" i="2" s="1"/>
  <c r="K103" i="2"/>
  <c r="K135" i="2" s="1"/>
  <c r="L103" i="2"/>
  <c r="L135" i="2" s="1"/>
  <c r="O103" i="2"/>
  <c r="O135" i="2" s="1"/>
  <c r="G103" i="2"/>
  <c r="G135" i="2" s="1"/>
  <c r="K130" i="2"/>
  <c r="K99" i="2"/>
  <c r="K131" i="2" s="1"/>
  <c r="R106" i="2"/>
  <c r="R138" i="2" s="1"/>
  <c r="R107" i="2"/>
  <c r="R139" i="2" s="1"/>
  <c r="R133" i="2"/>
  <c r="J110" i="2"/>
  <c r="J142" i="2" s="1"/>
  <c r="J134" i="2"/>
  <c r="M130" i="2"/>
  <c r="M99" i="2"/>
  <c r="M131" i="2" s="1"/>
  <c r="K134" i="2"/>
  <c r="K110" i="2"/>
  <c r="K142" i="2" s="1"/>
  <c r="P130" i="2"/>
  <c r="P99" i="2"/>
  <c r="P131" i="2" s="1"/>
  <c r="N134" i="2"/>
  <c r="N110" i="2"/>
  <c r="N142" i="2" s="1"/>
  <c r="F110" i="2"/>
  <c r="R102" i="2"/>
  <c r="R134" i="2" s="1"/>
  <c r="F134" i="2"/>
  <c r="N130" i="2"/>
  <c r="N99" i="2"/>
  <c r="N131" i="2" s="1"/>
  <c r="F130" i="2"/>
  <c r="F99" i="2"/>
  <c r="F131" i="2" s="1"/>
  <c r="H103" i="2"/>
  <c r="H135" i="2" s="1"/>
  <c r="P103" i="2"/>
  <c r="P135" i="2" s="1"/>
  <c r="J99" i="2"/>
  <c r="J131" i="2" s="1"/>
  <c r="J130" i="2"/>
  <c r="R104" i="2"/>
  <c r="R136" i="2" s="1"/>
  <c r="F136" i="2"/>
  <c r="H99" i="2"/>
  <c r="H131" i="2" s="1"/>
  <c r="H130" i="2"/>
  <c r="G134" i="2"/>
  <c r="G110" i="2"/>
  <c r="G142" i="2" s="1"/>
  <c r="G99" i="2"/>
  <c r="G131" i="2" s="1"/>
  <c r="G130" i="2"/>
  <c r="L99" i="2"/>
  <c r="L131" i="2" s="1"/>
  <c r="L130" i="2"/>
  <c r="Q103" i="2"/>
  <c r="Q135" i="2" s="1"/>
  <c r="P134" i="2"/>
  <c r="P110" i="2"/>
  <c r="P142" i="2" s="1"/>
  <c r="N103" i="2"/>
  <c r="N135" i="2" s="1"/>
  <c r="F135" i="2"/>
  <c r="H134" i="2"/>
  <c r="H110" i="2"/>
  <c r="H142" i="2" s="1"/>
  <c r="O130" i="2"/>
  <c r="O99" i="2"/>
  <c r="O131" i="2" s="1"/>
  <c r="L134" i="2"/>
  <c r="L110" i="2"/>
  <c r="L142" i="2" s="1"/>
  <c r="I110" i="2"/>
  <c r="I142" i="2" s="1"/>
  <c r="I134" i="2"/>
  <c r="O134" i="2"/>
  <c r="O110" i="2"/>
  <c r="O142" i="2" s="1"/>
  <c r="Q134" i="2"/>
  <c r="Q110" i="2"/>
  <c r="Q142" i="2" s="1"/>
  <c r="I130" i="2"/>
  <c r="I99" i="2"/>
  <c r="I131" i="2" s="1"/>
  <c r="M134" i="2"/>
  <c r="M110" i="2"/>
  <c r="M142" i="2" s="1"/>
  <c r="J103" i="2"/>
  <c r="J135" i="2" s="1"/>
  <c r="R98" i="2"/>
  <c r="R128" i="2"/>
  <c r="Q99" i="2"/>
  <c r="Q131" i="2" s="1"/>
  <c r="Q130" i="2"/>
  <c r="Y129" i="2" l="1"/>
  <c r="Y128" i="2" s="1"/>
  <c r="F142" i="2"/>
  <c r="R110" i="2"/>
  <c r="R142" i="2" s="1"/>
  <c r="R103" i="2"/>
  <c r="R99" i="2"/>
  <c r="R131" i="2" s="1"/>
  <c r="R130" i="2"/>
  <c r="V106" i="2" l="1"/>
  <c r="V138" i="2" s="1"/>
  <c r="V107" i="2"/>
  <c r="V139" i="2" s="1"/>
  <c r="R135" i="2"/>
</calcChain>
</file>

<file path=xl/comments1.xml><?xml version="1.0" encoding="utf-8"?>
<comments xmlns="http://schemas.openxmlformats.org/spreadsheetml/2006/main">
  <authors>
    <author>Author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F25" authorId="0" shapeId="0">
      <text>
        <r>
          <rPr>
            <sz val="10"/>
            <color indexed="8"/>
            <rFont val="Segoe UI"/>
            <family val="2"/>
          </rPr>
          <t xml:space="preserve">1: Air-source hp
2: GW hp
3: Vghx hp
4: Hghx hp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on/off:1
ideal:2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C101" authorId="0" shapeId="0">
      <text>
        <r>
          <rPr>
            <sz val="9"/>
            <color indexed="81"/>
            <rFont val="Segoe UI"/>
            <family val="2"/>
          </rPr>
          <t xml:space="preserve">Typically 0.4 without battery, and between 0.45 and 0.55 with battery
</t>
        </r>
      </text>
    </comment>
    <comment ref="E132" authorId="0" shapeId="0">
      <text>
        <r>
          <rPr>
            <sz val="9"/>
            <color indexed="81"/>
            <rFont val="Segoe UI"/>
            <family val="2"/>
          </rPr>
          <t xml:space="preserve">Typically 0.4 without battery, and between 0.45 and 0.55 with battery
</t>
        </r>
      </text>
    </comment>
    <comment ref="D141" authorId="0" shapeId="0">
      <text>
        <r>
          <rPr>
            <sz val="9"/>
            <color indexed="81"/>
            <rFont val="Tahoma"/>
            <charset val="1"/>
          </rPr>
          <t>See also: 
Ochs F, Dermentzis G. 
Evaluation of Efficiency and Renewable Energy Measures Considering the Future Energy Mix. 
7th International Building Physics Conference Proceedings, IBPC, Syracuse, New York: International Association of Building Physics (IABP); 2018, p. 1271–6. 
https://doi.org/10.14305/ibpc.2018.pe-1.03.</t>
        </r>
      </text>
    </comment>
  </commentList>
</comments>
</file>

<file path=xl/sharedStrings.xml><?xml version="1.0" encoding="utf-8"?>
<sst xmlns="http://schemas.openxmlformats.org/spreadsheetml/2006/main" count="412" uniqueCount="245">
  <si>
    <t>Wel_H</t>
  </si>
  <si>
    <t>Wel_DHW</t>
  </si>
  <si>
    <t>Wel_tot</t>
  </si>
  <si>
    <t>Wel_HP</t>
  </si>
  <si>
    <t>SPF</t>
  </si>
  <si>
    <t>kWh</t>
  </si>
  <si>
    <t>a</t>
  </si>
  <si>
    <t>theta src</t>
  </si>
  <si>
    <t>°C</t>
  </si>
  <si>
    <t>theta snk_H</t>
  </si>
  <si>
    <t>theta snk_DHW</t>
  </si>
  <si>
    <t>1/COP_carnot_H</t>
  </si>
  <si>
    <t>1/COP_carnot_DHW</t>
  </si>
  <si>
    <t>COP_H</t>
  </si>
  <si>
    <t>COP_DHW</t>
  </si>
  <si>
    <t>SPF calc</t>
  </si>
  <si>
    <t>SPF PHPP</t>
  </si>
  <si>
    <t>n_carnot_H</t>
  </si>
  <si>
    <t>n_carnot_DHW</t>
  </si>
  <si>
    <t>path:</t>
  </si>
  <si>
    <t>filename:</t>
  </si>
  <si>
    <t>sheet:</t>
  </si>
  <si>
    <t>cell:</t>
  </si>
  <si>
    <t>WP</t>
  </si>
  <si>
    <t>$V$150</t>
  </si>
  <si>
    <t>$W$150</t>
  </si>
  <si>
    <t>$M$139</t>
  </si>
  <si>
    <t>$M$132</t>
  </si>
  <si>
    <t>$V$149</t>
  </si>
  <si>
    <t>$W$149</t>
  </si>
  <si>
    <t>$M$128</t>
  </si>
  <si>
    <t>$M$23</t>
  </si>
  <si>
    <t>$M$37</t>
  </si>
  <si>
    <t xml:space="preserve">F$123  </t>
  </si>
  <si>
    <t xml:space="preserve">G$123  </t>
  </si>
  <si>
    <t xml:space="preserve">H$123  </t>
  </si>
  <si>
    <t xml:space="preserve">I$123  </t>
  </si>
  <si>
    <t xml:space="preserve">J$123  </t>
  </si>
  <si>
    <t xml:space="preserve">K$123 </t>
  </si>
  <si>
    <t xml:space="preserve">L$123  </t>
  </si>
  <si>
    <t xml:space="preserve">M$123 </t>
  </si>
  <si>
    <t>N$123</t>
  </si>
  <si>
    <t xml:space="preserve">O$123  </t>
  </si>
  <si>
    <t xml:space="preserve">P$123 </t>
  </si>
  <si>
    <t>Q$123</t>
  </si>
  <si>
    <t>F$130</t>
  </si>
  <si>
    <t>G$130</t>
  </si>
  <si>
    <t>H$130</t>
  </si>
  <si>
    <t>I$130</t>
  </si>
  <si>
    <t>J$130</t>
  </si>
  <si>
    <t>K$130</t>
  </si>
  <si>
    <t>L$130</t>
  </si>
  <si>
    <t>M$130</t>
  </si>
  <si>
    <t>N$130</t>
  </si>
  <si>
    <t>O$130</t>
  </si>
  <si>
    <t>P$130</t>
  </si>
  <si>
    <t>Q$130</t>
  </si>
  <si>
    <t xml:space="preserve">F$129  </t>
  </si>
  <si>
    <t xml:space="preserve">G$129  </t>
  </si>
  <si>
    <t xml:space="preserve">H$129  </t>
  </si>
  <si>
    <t xml:space="preserve">I$129  </t>
  </si>
  <si>
    <t xml:space="preserve">J$129  </t>
  </si>
  <si>
    <t xml:space="preserve">K$129 </t>
  </si>
  <si>
    <t xml:space="preserve">L$129  </t>
  </si>
  <si>
    <t xml:space="preserve">M$129 </t>
  </si>
  <si>
    <t>N$129</t>
  </si>
  <si>
    <t xml:space="preserve">O$129  </t>
  </si>
  <si>
    <t xml:space="preserve">P$129 </t>
  </si>
  <si>
    <t>Q$129</t>
  </si>
  <si>
    <t>SolarWW</t>
  </si>
  <si>
    <t>Results</t>
  </si>
  <si>
    <t>Read cells from external file</t>
  </si>
  <si>
    <t>Inputs from external file</t>
  </si>
  <si>
    <t>HD</t>
  </si>
  <si>
    <t>HD covered by ST</t>
  </si>
  <si>
    <t>DHW covered by ST</t>
  </si>
  <si>
    <t>DHW + losses</t>
  </si>
  <si>
    <t>Q_HP_DHW</t>
  </si>
  <si>
    <t>%</t>
  </si>
  <si>
    <t>Q_HP_HD</t>
  </si>
  <si>
    <t>internal notes</t>
  </si>
  <si>
    <t>GHX pump is included in the monthly distribution, even though it is a simplification</t>
  </si>
  <si>
    <t>Only one HP can be included</t>
  </si>
  <si>
    <t>HP source</t>
  </si>
  <si>
    <t>$M$166</t>
  </si>
  <si>
    <t>control</t>
  </si>
  <si>
    <t>theta i_set</t>
  </si>
  <si>
    <t>M150</t>
  </si>
  <si>
    <t>theta_src</t>
  </si>
  <si>
    <t>M182</t>
  </si>
  <si>
    <t>Optional user inputs</t>
  </si>
  <si>
    <t>Qmon_max</t>
  </si>
  <si>
    <t>Qmon_min</t>
  </si>
  <si>
    <t>theta_i</t>
  </si>
  <si>
    <t>tehta_snk_H_design</t>
  </si>
  <si>
    <t>b</t>
  </si>
  <si>
    <t>theta snk H</t>
  </si>
  <si>
    <t>theta amb</t>
  </si>
  <si>
    <t>Klima</t>
  </si>
  <si>
    <t>E$24</t>
  </si>
  <si>
    <t>F$24</t>
  </si>
  <si>
    <t>G$24</t>
  </si>
  <si>
    <t>H$24</t>
  </si>
  <si>
    <t>I$24</t>
  </si>
  <si>
    <t>J$24</t>
  </si>
  <si>
    <t>K$24</t>
  </si>
  <si>
    <t>L$24</t>
  </si>
  <si>
    <t>M$24</t>
  </si>
  <si>
    <t>N$24</t>
  </si>
  <si>
    <t>O$24</t>
  </si>
  <si>
    <t>P$24</t>
  </si>
  <si>
    <t>theta gw</t>
  </si>
  <si>
    <t>BD249</t>
  </si>
  <si>
    <t>BD250</t>
  </si>
  <si>
    <t>BD251</t>
  </si>
  <si>
    <t>BD252</t>
  </si>
  <si>
    <t>BD253</t>
  </si>
  <si>
    <t>BD254</t>
  </si>
  <si>
    <t>BD255</t>
  </si>
  <si>
    <t>BD256</t>
  </si>
  <si>
    <t>BD257</t>
  </si>
  <si>
    <t>BD258</t>
  </si>
  <si>
    <t>BD259</t>
  </si>
  <si>
    <t>BD260</t>
  </si>
  <si>
    <t>BD308</t>
  </si>
  <si>
    <t>BD309</t>
  </si>
  <si>
    <t>BD310</t>
  </si>
  <si>
    <t>BD311</t>
  </si>
  <si>
    <t>BD312</t>
  </si>
  <si>
    <t>BD313</t>
  </si>
  <si>
    <t>BD314</t>
  </si>
  <si>
    <t>BD315</t>
  </si>
  <si>
    <t>BD316</t>
  </si>
  <si>
    <t>BD317</t>
  </si>
  <si>
    <t>BD318</t>
  </si>
  <si>
    <t>BD319</t>
  </si>
  <si>
    <t>theta vghx/hghx</t>
  </si>
  <si>
    <t>PV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</si>
  <si>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</si>
  <si>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</si>
  <si>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</si>
  <si>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</si>
  <si>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</si>
  <si>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</si>
  <si>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</si>
  <si>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</si>
  <si>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</si>
  <si>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</si>
  <si>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</si>
  <si>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</si>
  <si>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HP</t>
  </si>
  <si>
    <t>Language:</t>
  </si>
  <si>
    <t>information about the filename and path: capital or small letters do not play a role</t>
  </si>
  <si>
    <t>Version 9.6a</t>
  </si>
  <si>
    <t>Version 9.1</t>
  </si>
  <si>
    <t>Climate</t>
  </si>
  <si>
    <t>SolarDHW</t>
  </si>
  <si>
    <t>1-German</t>
  </si>
  <si>
    <t>2-English</t>
  </si>
  <si>
    <t>IMPORTANT: PHPP must be opened!</t>
  </si>
  <si>
    <t>Absolute difference</t>
  </si>
  <si>
    <t>Relative difference</t>
  </si>
  <si>
    <t>Calculations inputs</t>
  </si>
  <si>
    <t>Monthly temepratures</t>
  </si>
  <si>
    <t>It works only for monovalent systems i.e. "No flow type heater", "No direct electricity (except of pumps)"</t>
  </si>
  <si>
    <t>A  solar thermal system can be included</t>
  </si>
  <si>
    <t>Information for the current version</t>
  </si>
  <si>
    <t>User inputs:</t>
  </si>
  <si>
    <t>Check if PHPP is open:</t>
  </si>
  <si>
    <t>F$97</t>
  </si>
  <si>
    <t xml:space="preserve">G$97 </t>
  </si>
  <si>
    <t>H$97</t>
  </si>
  <si>
    <t xml:space="preserve">I$97 </t>
  </si>
  <si>
    <t xml:space="preserve">J$97 </t>
  </si>
  <si>
    <t xml:space="preserve">K$97 </t>
  </si>
  <si>
    <t xml:space="preserve">L$97 </t>
  </si>
  <si>
    <t xml:space="preserve">M$97 </t>
  </si>
  <si>
    <t xml:space="preserve">N$97 </t>
  </si>
  <si>
    <t xml:space="preserve">O$97 </t>
  </si>
  <si>
    <t xml:space="preserve">P$97 </t>
  </si>
  <si>
    <t xml:space="preserve">Q$97 </t>
  </si>
  <si>
    <t>Electricity</t>
  </si>
  <si>
    <t>Aux Electricity</t>
  </si>
  <si>
    <t>V42</t>
  </si>
  <si>
    <t>AA35</t>
  </si>
  <si>
    <t>Electiricty appliances</t>
  </si>
  <si>
    <t>Aux. electricty</t>
  </si>
  <si>
    <t>Hilfsstrom</t>
  </si>
  <si>
    <t>Strom</t>
  </si>
  <si>
    <t xml:space="preserve">This vesion includes the electricity of the appliances and auxiliaries from only a residential building </t>
  </si>
  <si>
    <t>days per month</t>
  </si>
  <si>
    <t>App</t>
  </si>
  <si>
    <t>Aux</t>
  </si>
  <si>
    <t>Tot</t>
  </si>
  <si>
    <t>HP SH</t>
  </si>
  <si>
    <t>HP DHW</t>
  </si>
  <si>
    <t>min</t>
  </si>
  <si>
    <t>max</t>
  </si>
  <si>
    <t>PV Yield</t>
  </si>
  <si>
    <t>theta sink SH</t>
  </si>
  <si>
    <t>theta source</t>
  </si>
  <si>
    <t>theta sink DHW</t>
  </si>
  <si>
    <t>COP SH</t>
  </si>
  <si>
    <t>COP DHW</t>
  </si>
  <si>
    <t>LCF</t>
  </si>
  <si>
    <t>PV own</t>
  </si>
  <si>
    <t>q_HP SH</t>
  </si>
  <si>
    <t>q_HP DHW</t>
  </si>
  <si>
    <t>w_el Total</t>
  </si>
  <si>
    <t>w_el Auxiliaries</t>
  </si>
  <si>
    <t>w_el Appliances</t>
  </si>
  <si>
    <t>w_el Heat pump</t>
  </si>
  <si>
    <t>w_el DHW</t>
  </si>
  <si>
    <t>w_el Space Heating</t>
  </si>
  <si>
    <t>W_el GRID</t>
  </si>
  <si>
    <t>SCF</t>
  </si>
  <si>
    <t>max PV own</t>
  </si>
  <si>
    <t>min_w_el_grid</t>
  </si>
  <si>
    <t>Supply Cover Factor and Load Cover Factor</t>
  </si>
  <si>
    <t>Supply Cover Factor</t>
  </si>
  <si>
    <t>Load Cover Factor</t>
  </si>
  <si>
    <t>m2</t>
  </si>
  <si>
    <t>Verification</t>
  </si>
  <si>
    <t>Nachweis</t>
  </si>
  <si>
    <t>I34</t>
  </si>
  <si>
    <t>Treated floor area</t>
  </si>
  <si>
    <t>PV FO</t>
  </si>
  <si>
    <r>
      <t>kWh/(m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TA</t>
    </r>
    <r>
      <rPr>
        <sz val="11"/>
        <color theme="1"/>
        <rFont val="Times New Roman"/>
        <family val="1"/>
      </rPr>
      <t>·</t>
    </r>
    <r>
      <rPr>
        <sz val="10"/>
        <color theme="1"/>
        <rFont val="Calibri"/>
        <family val="2"/>
      </rPr>
      <t>a)</t>
    </r>
  </si>
  <si>
    <t>GRID</t>
  </si>
  <si>
    <t>PV self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</si>
  <si>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</si>
  <si>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max PV self cons.</t>
  </si>
  <si>
    <t>w_el from grid</t>
  </si>
  <si>
    <t>min_w_el from grid</t>
  </si>
  <si>
    <t>This sheet is tested with PHPP version 9.6b (German) and version 9.6a (English)</t>
  </si>
  <si>
    <t>Factor of PV self consumpation:</t>
  </si>
  <si>
    <t>External PHPP file</t>
  </si>
  <si>
    <t>PV self-consumption</t>
  </si>
  <si>
    <t>Monthly Primary Energy Evaluation</t>
  </si>
  <si>
    <t>primary energy</t>
  </si>
  <si>
    <t>fPE, non-RE</t>
  </si>
  <si>
    <t>nonRE PE</t>
  </si>
  <si>
    <t>conversion factor</t>
  </si>
  <si>
    <t>C:\1_data\bigshare\projects\000_older_projects\Passive Houses\PHPP_9\06_Master_CD_PHPP_V9.6a_EN_20160709\01_PHPP</t>
  </si>
  <si>
    <t>PHPP_V9.6a_EN_Example.xlsx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</si>
</sst>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egoe UI"/>
      <family val="2"/>
    </font>
    <font>
      <sz val="10"/>
      <name val="Helv"/>
    </font>
    <font>
      <b/>
      <sz val="10"/>
      <color indexed="12"/>
      <name val="Arial Narrow"/>
      <family val="2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b/>
      <sz val="10"/>
      <color indexed="61"/>
      <name val="Arial"/>
      <family val="2"/>
    </font>
    <font>
      <sz val="9"/>
      <color indexed="81"/>
      <name val="Segoe U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indexed="61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rgb="FF0070C0"/>
      </right>
      <top style="hair">
        <color indexed="12"/>
      </top>
      <bottom style="hair">
        <color indexed="12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</cellStyleXfs>
  <cellXfs count="75">
    <xf numFmtId="0" fontId="0" fillId="0" borderId="0" xfId="0"/>
    <xf numFmtId="1" fontId="0" fillId="2" borderId="1" xfId="0" applyNumberFormat="1" applyFill="1" applyBorder="1"/>
    <xf numFmtId="2" fontId="0" fillId="2" borderId="1" xfId="0" applyNumberFormat="1" applyFill="1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3" borderId="1" xfId="0" applyNumberFormat="1" applyFill="1" applyBorder="1"/>
    <xf numFmtId="1" fontId="1" fillId="3" borderId="0" xfId="0" applyNumberFormat="1" applyFont="1" applyFill="1" applyAlignment="1">
      <alignment horizontal="center"/>
    </xf>
    <xf numFmtId="164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0" fillId="0" borderId="0" xfId="0" applyFill="1"/>
    <xf numFmtId="1" fontId="0" fillId="2" borderId="1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4" borderId="4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" fontId="12" fillId="0" borderId="8" xfId="3" applyNumberFormat="1" applyFont="1" applyBorder="1" applyAlignment="1" applyProtection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0" xfId="0" applyBorder="1"/>
    <xf numFmtId="164" fontId="0" fillId="2" borderId="1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164" fontId="12" fillId="0" borderId="8" xfId="3" applyNumberFormat="1" applyFont="1" applyBorder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1" fillId="0" borderId="0" xfId="1" applyFont="1"/>
    <xf numFmtId="1" fontId="0" fillId="2" borderId="1" xfId="0" applyNumberForma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/>
    </xf>
    <xf numFmtId="164" fontId="12" fillId="0" borderId="8" xfId="3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12" fillId="0" borderId="8" xfId="1" applyFont="1" applyBorder="1" applyAlignment="1" applyProtection="1">
      <alignment horizontal="center" vertical="center"/>
    </xf>
    <xf numFmtId="9" fontId="18" fillId="0" borderId="8" xfId="1" applyFont="1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9" fillId="4" borderId="13" xfId="2" applyNumberFormat="1" applyFont="1" applyFill="1" applyBorder="1" applyAlignment="1" applyProtection="1">
      <alignment horizontal="left" vertical="center"/>
      <protection locked="0"/>
    </xf>
    <xf numFmtId="2" fontId="9" fillId="4" borderId="14" xfId="2" applyNumberFormat="1" applyFont="1" applyFill="1" applyBorder="1" applyAlignment="1" applyProtection="1">
      <alignment horizontal="center" vertical="center"/>
      <protection locked="0"/>
    </xf>
    <xf numFmtId="164" fontId="12" fillId="0" borderId="15" xfId="3" applyNumberFormat="1" applyFont="1" applyBorder="1" applyAlignment="1" applyProtection="1">
      <alignment horizontal="center" vertical="center"/>
    </xf>
    <xf numFmtId="0" fontId="9" fillId="4" borderId="5" xfId="2" applyNumberFormat="1" applyFont="1" applyFill="1" applyBorder="1" applyAlignment="1" applyProtection="1">
      <alignment horizontal="left" vertical="center"/>
      <protection locked="0"/>
    </xf>
    <xf numFmtId="0" fontId="9" fillId="4" borderId="6" xfId="2" applyNumberFormat="1" applyFont="1" applyFill="1" applyBorder="1" applyAlignment="1" applyProtection="1">
      <alignment horizontal="left" vertical="center"/>
      <protection locked="0"/>
    </xf>
    <xf numFmtId="0" fontId="9" fillId="4" borderId="7" xfId="2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Percent" xfId="1" builtinId="5"/>
    <cellStyle name="Standard_HWB Kurzverf. Formular" xfId="3"/>
    <cellStyle name="Standard_HWB Kurzverf. Formular (2)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0.48451648767978667</c:v>
                </c:pt>
                <c:pt idx="1">
                  <c:v>0.21789786990443025</c:v>
                </c:pt>
                <c:pt idx="2">
                  <c:v>0.16163700470060388</c:v>
                </c:pt>
                <c:pt idx="3">
                  <c:v>8.5744805099131793E-2</c:v>
                </c:pt>
                <c:pt idx="4">
                  <c:v>7.2534452460145879E-2</c:v>
                </c:pt>
                <c:pt idx="5">
                  <c:v>7.5340330334918812E-2</c:v>
                </c:pt>
                <c:pt idx="6">
                  <c:v>7.4379803573091027E-2</c:v>
                </c:pt>
                <c:pt idx="7">
                  <c:v>7.6292138222514697E-2</c:v>
                </c:pt>
                <c:pt idx="8">
                  <c:v>9.8712498037356322E-2</c:v>
                </c:pt>
                <c:pt idx="9">
                  <c:v>0.17418484145252652</c:v>
                </c:pt>
                <c:pt idx="10">
                  <c:v>0.41165076108883492</c:v>
                </c:pt>
                <c:pt idx="11">
                  <c:v>0.66737434952903396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1-4E15-BD29-0B919AAEF4B8}"/>
            </c:ext>
          </c:extLst>
        </c:ser>
        <c:ser>
          <c:idx val="1"/>
          <c:order val="1"/>
          <c:tx>
            <c:strRef>
              <c:f>PV_HP_self!$D$139</c:f>
              <c:strCache>
                <c:ptCount val="1"/>
                <c:pt idx="0">
                  <c:v>Load Cover Factor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PV_HP_self!$F$139:$Q$139</c:f>
              <c:numCache>
                <c:formatCode>0%</c:formatCode>
                <c:ptCount val="12"/>
                <c:pt idx="0">
                  <c:v>0.20123025200191685</c:v>
                </c:pt>
                <c:pt idx="1">
                  <c:v>0.32029687847304134</c:v>
                </c:pt>
                <c:pt idx="2">
                  <c:v>0.43652039371650786</c:v>
                </c:pt>
                <c:pt idx="3">
                  <c:v>0.45</c:v>
                </c:pt>
                <c:pt idx="4">
                  <c:v>0.45</c:v>
                </c:pt>
                <c:pt idx="5">
                  <c:v>0.44999999999999996</c:v>
                </c:pt>
                <c:pt idx="6">
                  <c:v>0.45</c:v>
                </c:pt>
                <c:pt idx="7">
                  <c:v>0.45</c:v>
                </c:pt>
                <c:pt idx="8">
                  <c:v>0.45000000000000007</c:v>
                </c:pt>
                <c:pt idx="9">
                  <c:v>0.45</c:v>
                </c:pt>
                <c:pt idx="10">
                  <c:v>0.27534400815195748</c:v>
                </c:pt>
                <c:pt idx="11">
                  <c:v>0.20350169063712262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1-4E15-BD29-0B919AAE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49168"/>
        <c:axId val="871450808"/>
      </c:lineChart>
      <c:lineChart>
        <c:grouping val="standard"/>
        <c:varyColors val="0"/>
        <c:ser>
          <c:idx val="2"/>
          <c:order val="2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0.48451648767978667</c:v>
                </c:pt>
                <c:pt idx="1">
                  <c:v>0.21789786990443025</c:v>
                </c:pt>
                <c:pt idx="2">
                  <c:v>0.16163700470060388</c:v>
                </c:pt>
                <c:pt idx="3">
                  <c:v>8.5744805099131793E-2</c:v>
                </c:pt>
                <c:pt idx="4">
                  <c:v>7.2534452460145879E-2</c:v>
                </c:pt>
                <c:pt idx="5">
                  <c:v>7.5340330334918812E-2</c:v>
                </c:pt>
                <c:pt idx="6">
                  <c:v>7.4379803573091027E-2</c:v>
                </c:pt>
                <c:pt idx="7">
                  <c:v>7.6292138222514697E-2</c:v>
                </c:pt>
                <c:pt idx="8">
                  <c:v>9.8712498037356322E-2</c:v>
                </c:pt>
                <c:pt idx="9">
                  <c:v>0.17418484145252652</c:v>
                </c:pt>
                <c:pt idx="10">
                  <c:v>0.41165076108883492</c:v>
                </c:pt>
                <c:pt idx="11">
                  <c:v>0.66737434952903396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1-4E15-BD29-0B919AAEF4B8}"/>
            </c:ext>
          </c:extLst>
        </c:ser>
        <c:ser>
          <c:idx val="3"/>
          <c:order val="3"/>
          <c:tx>
            <c:strRef>
              <c:f>PV_HP_self!$D$139</c:f>
              <c:strCache>
                <c:ptCount val="1"/>
                <c:pt idx="0">
                  <c:v>Load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PV_HP_self!$F$139:$Q$139</c:f>
              <c:numCache>
                <c:formatCode>0%</c:formatCode>
                <c:ptCount val="12"/>
                <c:pt idx="0">
                  <c:v>0.20123025200191685</c:v>
                </c:pt>
                <c:pt idx="1">
                  <c:v>0.32029687847304134</c:v>
                </c:pt>
                <c:pt idx="2">
                  <c:v>0.43652039371650786</c:v>
                </c:pt>
                <c:pt idx="3">
                  <c:v>0.45</c:v>
                </c:pt>
                <c:pt idx="4">
                  <c:v>0.45</c:v>
                </c:pt>
                <c:pt idx="5">
                  <c:v>0.44999999999999996</c:v>
                </c:pt>
                <c:pt idx="6">
                  <c:v>0.45</c:v>
                </c:pt>
                <c:pt idx="7">
                  <c:v>0.45</c:v>
                </c:pt>
                <c:pt idx="8">
                  <c:v>0.45000000000000007</c:v>
                </c:pt>
                <c:pt idx="9">
                  <c:v>0.45</c:v>
                </c:pt>
                <c:pt idx="10">
                  <c:v>0.27534400815195748</c:v>
                </c:pt>
                <c:pt idx="11">
                  <c:v>0.20350169063712262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1-4E15-BD29-0B919AAE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48336"/>
        <c:axId val="965446696"/>
      </c:lineChart>
      <c:catAx>
        <c:axId val="87144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50808"/>
        <c:crossesAt val="-2000"/>
        <c:auto val="1"/>
        <c:lblAlgn val="ctr"/>
        <c:lblOffset val="100"/>
        <c:noMultiLvlLbl val="0"/>
      </c:catAx>
      <c:valAx>
        <c:axId val="871450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SCF, LCF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49168"/>
        <c:crosses val="autoZero"/>
        <c:crossBetween val="between"/>
      </c:valAx>
      <c:valAx>
        <c:axId val="965446696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448336"/>
        <c:crosses val="max"/>
        <c:crossBetween val="between"/>
      </c:valAx>
      <c:catAx>
        <c:axId val="96544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654466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v>HP total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PV_HP_self!$F$125:$Q$125</c:f>
              <c:numCache>
                <c:formatCode>0.0</c:formatCode>
                <c:ptCount val="12"/>
                <c:pt idx="0">
                  <c:v>2.9857215003801478</c:v>
                </c:pt>
                <c:pt idx="1">
                  <c:v>1.2546687699923342</c:v>
                </c:pt>
                <c:pt idx="2">
                  <c:v>0.55915868857778495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1.7219231369327348</c:v>
                </c:pt>
                <c:pt idx="11">
                  <c:v>2.9091277917505134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1-480F-A8FA-3EF1985A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985680"/>
        <c:axId val="222986008"/>
      </c:barChart>
      <c:barChart>
        <c:barDir val="col"/>
        <c:grouping val="stacked"/>
        <c:varyColors val="0"/>
        <c:ser>
          <c:idx val="0"/>
          <c:order val="0"/>
          <c:tx>
            <c:v>HP Space heating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PV_HP_self!$F$123:$Q$123</c:f>
              <c:numCache>
                <c:formatCode>0.0</c:formatCode>
                <c:ptCount val="12"/>
                <c:pt idx="0">
                  <c:v>2.3153939294048289</c:v>
                </c:pt>
                <c:pt idx="1">
                  <c:v>0.67471178012169708</c:v>
                </c:pt>
                <c:pt idx="2">
                  <c:v>5.2772868778094645E-2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1.1200215130703977</c:v>
                </c:pt>
                <c:pt idx="11">
                  <c:v>2.2522967490498651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1-480F-A8FA-3EF1985AF869}"/>
            </c:ext>
          </c:extLst>
        </c:ser>
        <c:ser>
          <c:idx val="1"/>
          <c:order val="1"/>
          <c:tx>
            <c:v>HP DHW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PV_HP_self!$F$124:$Q$124</c:f>
              <c:numCache>
                <c:formatCode>0.0</c:formatCode>
                <c:ptCount val="12"/>
                <c:pt idx="0">
                  <c:v>0.67032757097531881</c:v>
                </c:pt>
                <c:pt idx="1">
                  <c:v>0.57995698987063726</c:v>
                </c:pt>
                <c:pt idx="2">
                  <c:v>0.50638581979969033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0.60190162386233703</c:v>
                </c:pt>
                <c:pt idx="11">
                  <c:v>0.65683104270064796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1-480F-A8FA-3EF1985A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089952"/>
        <c:axId val="827091920"/>
      </c:bar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Electricity / [kWh</a:t>
                </a:r>
                <a:r>
                  <a:rPr lang="de-AT" sz="1000" b="0" i="0" u="none" strike="noStrike" baseline="0">
                    <a:effectLst/>
                  </a:rPr>
                  <a:t>/(m</a:t>
                </a:r>
                <a:r>
                  <a:rPr lang="de-AT" sz="1000" b="0" i="0" u="none" strike="noStrike" baseline="30000">
                    <a:effectLst/>
                  </a:rPr>
                  <a:t>2</a:t>
                </a:r>
                <a:r>
                  <a:rPr lang="de-AT" sz="1000" b="0" i="0" u="none" strike="noStrike" baseline="-25000">
                    <a:effectLst/>
                  </a:rPr>
                  <a:t>TA</a:t>
                </a:r>
                <a:r>
                  <a:rPr lang="de-AT" sz="1000" b="0" i="0" u="none" strike="noStrike" baseline="0">
                    <a:effectLst/>
                  </a:rPr>
                  <a:t>·a)</a:t>
                </a:r>
                <a:r>
                  <a:rPr lang="de-AT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8270919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089952"/>
        <c:crosses val="max"/>
        <c:crossBetween val="between"/>
      </c:valAx>
      <c:catAx>
        <c:axId val="82708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70919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467625"/>
          <c:y val="9.386969696969695E-2"/>
          <c:w val="0.44485104432857653"/>
          <c:h val="0.1127195402310941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v>DHW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PV_HP_self!$F$120:$Q$120</c:f>
              <c:numCache>
                <c:formatCode>0.0</c:formatCode>
                <c:ptCount val="12"/>
                <c:pt idx="0">
                  <c:v>2.0461668459242728</c:v>
                </c:pt>
                <c:pt idx="1">
                  <c:v>1.7974545036699869</c:v>
                </c:pt>
                <c:pt idx="2">
                  <c:v>1.6569406963686499</c:v>
                </c:pt>
                <c:pt idx="3">
                  <c:v>0.61612493959812353</c:v>
                </c:pt>
                <c:pt idx="4">
                  <c:v>0.45174854555106986</c:v>
                </c:pt>
                <c:pt idx="5">
                  <c:v>0.46394632165210592</c:v>
                </c:pt>
                <c:pt idx="6">
                  <c:v>0.4490540344005633</c:v>
                </c:pt>
                <c:pt idx="7">
                  <c:v>0.45703605878572279</c:v>
                </c:pt>
                <c:pt idx="8">
                  <c:v>0.71189466597392703</c:v>
                </c:pt>
                <c:pt idx="9">
                  <c:v>1.3049582884132891</c:v>
                </c:pt>
                <c:pt idx="10">
                  <c:v>1.9801614637976837</c:v>
                </c:pt>
                <c:pt idx="11">
                  <c:v>2.0461668459242728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B-41C9-987D-7A50A891D2BA}"/>
            </c:ext>
          </c:extLst>
        </c:ser>
        <c:ser>
          <c:idx val="0"/>
          <c:order val="1"/>
          <c:tx>
            <c:v>Space Heating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PV_HP_self!$F$119:$Q$119</c:f>
              <c:numCache>
                <c:formatCode>0.0</c:formatCode>
                <c:ptCount val="12"/>
                <c:pt idx="0">
                  <c:v>4.0500579433157293</c:v>
                </c:pt>
                <c:pt idx="1">
                  <c:v>1.1999772047631461</c:v>
                </c:pt>
                <c:pt idx="2">
                  <c:v>9.9606843020965674E-2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2.1266076338427538</c:v>
                </c:pt>
                <c:pt idx="11">
                  <c:v>4.0282214893637853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B-41C9-987D-7A50A891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85680"/>
        <c:axId val="222986008"/>
      </c:barChart>
      <c:barChart>
        <c:barDir val="col"/>
        <c:grouping val="stacked"/>
        <c:varyColors val="0"/>
        <c:ser>
          <c:idx val="2"/>
          <c:order val="2"/>
          <c:tx>
            <c:v>dhw2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PV_HP_self!$F$120:$Q$120</c:f>
              <c:numCache>
                <c:formatCode>0.0</c:formatCode>
                <c:ptCount val="12"/>
                <c:pt idx="0">
                  <c:v>2.0461668459242728</c:v>
                </c:pt>
                <c:pt idx="1">
                  <c:v>1.7974545036699869</c:v>
                </c:pt>
                <c:pt idx="2">
                  <c:v>1.6569406963686499</c:v>
                </c:pt>
                <c:pt idx="3">
                  <c:v>0.61612493959812353</c:v>
                </c:pt>
                <c:pt idx="4">
                  <c:v>0.45174854555106986</c:v>
                </c:pt>
                <c:pt idx="5">
                  <c:v>0.46394632165210592</c:v>
                </c:pt>
                <c:pt idx="6">
                  <c:v>0.4490540344005633</c:v>
                </c:pt>
                <c:pt idx="7">
                  <c:v>0.45703605878572279</c:v>
                </c:pt>
                <c:pt idx="8">
                  <c:v>0.71189466597392703</c:v>
                </c:pt>
                <c:pt idx="9">
                  <c:v>1.3049582884132891</c:v>
                </c:pt>
                <c:pt idx="10">
                  <c:v>1.9801614637976837</c:v>
                </c:pt>
                <c:pt idx="11">
                  <c:v>2.0461668459242728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08F-AD69-AD8903F75517}"/>
            </c:ext>
          </c:extLst>
        </c:ser>
        <c:ser>
          <c:idx val="3"/>
          <c:order val="3"/>
          <c:tx>
            <c:v>SH2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PV_HP_self!$F$119:$Q$119</c:f>
              <c:numCache>
                <c:formatCode>0.0</c:formatCode>
                <c:ptCount val="12"/>
                <c:pt idx="0">
                  <c:v>4.0500579433157293</c:v>
                </c:pt>
                <c:pt idx="1">
                  <c:v>1.1999772047631461</c:v>
                </c:pt>
                <c:pt idx="2">
                  <c:v>9.9606843020965674E-2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2.1266076338427538</c:v>
                </c:pt>
                <c:pt idx="11">
                  <c:v>4.0282214893637853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2-408F-AD69-AD8903F75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8412336"/>
        <c:axId val="1278408728"/>
      </c:bar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Q</a:t>
                </a:r>
                <a:r>
                  <a:rPr lang="de-AT" baseline="-25000"/>
                  <a:t>HP</a:t>
                </a:r>
                <a:r>
                  <a:rPr lang="de-AT"/>
                  <a:t> / [kWh/(m</a:t>
                </a:r>
                <a:r>
                  <a:rPr lang="de-AT" baseline="30000"/>
                  <a:t>2</a:t>
                </a:r>
                <a:r>
                  <a:rPr lang="de-AT" baseline="-25000"/>
                  <a:t>TA</a:t>
                </a:r>
                <a:r>
                  <a:rPr lang="de-AT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·a)</a:t>
                </a:r>
                <a:r>
                  <a:rPr lang="de-AT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12784087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8412336"/>
        <c:crosses val="max"/>
        <c:crossBetween val="between"/>
      </c:valAx>
      <c:catAx>
        <c:axId val="127841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84087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087969917452514"/>
          <c:y val="8.1722939492060331E-2"/>
          <c:w val="0.27472346720703716"/>
          <c:h val="0.1077314239525148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1081950252427"/>
          <c:y val="7.0555484287389614E-2"/>
          <c:w val="0.77684328723483353"/>
          <c:h val="0.608945367981918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PV_HP_self!$C$126</c:f>
              <c:strCache>
                <c:ptCount val="1"/>
                <c:pt idx="0">
                  <c:v>App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PV_HP_self!$F$126:$Q$126</c:f>
              <c:numCache>
                <c:formatCode>0.0</c:formatCode>
                <c:ptCount val="12"/>
                <c:pt idx="0">
                  <c:v>0.94032736173398002</c:v>
                </c:pt>
                <c:pt idx="1">
                  <c:v>0.84932793963069153</c:v>
                </c:pt>
                <c:pt idx="2">
                  <c:v>0.94032736173398002</c:v>
                </c:pt>
                <c:pt idx="3">
                  <c:v>0.90999422103288374</c:v>
                </c:pt>
                <c:pt idx="4">
                  <c:v>0.94032736173398002</c:v>
                </c:pt>
                <c:pt idx="5">
                  <c:v>0.90999422103288374</c:v>
                </c:pt>
                <c:pt idx="6">
                  <c:v>0.94032736173398002</c:v>
                </c:pt>
                <c:pt idx="7">
                  <c:v>0.94032736173398002</c:v>
                </c:pt>
                <c:pt idx="8">
                  <c:v>0.90999422103288374</c:v>
                </c:pt>
                <c:pt idx="9">
                  <c:v>0.94032736173398002</c:v>
                </c:pt>
                <c:pt idx="10">
                  <c:v>0.90999422103288374</c:v>
                </c:pt>
                <c:pt idx="11">
                  <c:v>0.94032736173398002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3-4D82-BE90-C8071D4EE935}"/>
            </c:ext>
          </c:extLst>
        </c:ser>
        <c:ser>
          <c:idx val="3"/>
          <c:order val="1"/>
          <c:tx>
            <c:strRef>
              <c:f>PV_HP_self!$C$127</c:f>
              <c:strCache>
                <c:ptCount val="1"/>
                <c:pt idx="0">
                  <c:v>Aux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PV_HP_self!$F$127:$Q$127</c:f>
              <c:numCache>
                <c:formatCode>0.0</c:formatCode>
                <c:ptCount val="12"/>
                <c:pt idx="0">
                  <c:v>0.26227096622851004</c:v>
                </c:pt>
                <c:pt idx="1">
                  <c:v>0.23688990498058976</c:v>
                </c:pt>
                <c:pt idx="2">
                  <c:v>0.26227096622851004</c:v>
                </c:pt>
                <c:pt idx="3">
                  <c:v>0.25381061247920328</c:v>
                </c:pt>
                <c:pt idx="4">
                  <c:v>0.26227096622851004</c:v>
                </c:pt>
                <c:pt idx="5">
                  <c:v>0.25381061247920328</c:v>
                </c:pt>
                <c:pt idx="6">
                  <c:v>0.26227096622851004</c:v>
                </c:pt>
                <c:pt idx="7">
                  <c:v>0.26227096622851004</c:v>
                </c:pt>
                <c:pt idx="8">
                  <c:v>0.25381061247920328</c:v>
                </c:pt>
                <c:pt idx="9">
                  <c:v>0.26227096622851004</c:v>
                </c:pt>
                <c:pt idx="10">
                  <c:v>0.25381061247920328</c:v>
                </c:pt>
                <c:pt idx="11">
                  <c:v>0.26227096622851004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3-4D82-BE90-C8071D4EE935}"/>
            </c:ext>
          </c:extLst>
        </c:ser>
        <c:ser>
          <c:idx val="1"/>
          <c:order val="2"/>
          <c:tx>
            <c:strRef>
              <c:f>PV_HP_self!$C$124</c:f>
              <c:strCache>
                <c:ptCount val="1"/>
                <c:pt idx="0">
                  <c:v>HP DHW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PV_HP_self!$F$124:$Q$124</c:f>
              <c:numCache>
                <c:formatCode>0.0</c:formatCode>
                <c:ptCount val="12"/>
                <c:pt idx="0">
                  <c:v>0.67032757097531881</c:v>
                </c:pt>
                <c:pt idx="1">
                  <c:v>0.57995698987063726</c:v>
                </c:pt>
                <c:pt idx="2">
                  <c:v>0.50638581979969033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0.60190162386233703</c:v>
                </c:pt>
                <c:pt idx="11">
                  <c:v>0.65683104270064796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3-4D82-BE90-C8071D4EE935}"/>
            </c:ext>
          </c:extLst>
        </c:ser>
        <c:ser>
          <c:idx val="0"/>
          <c:order val="3"/>
          <c:tx>
            <c:strRef>
              <c:f>PV_HP_self!$C$123</c:f>
              <c:strCache>
                <c:ptCount val="1"/>
                <c:pt idx="0">
                  <c:v>HP 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PV_HP_self!$F$123:$Q$123</c:f>
              <c:numCache>
                <c:formatCode>0.0</c:formatCode>
                <c:ptCount val="12"/>
                <c:pt idx="0">
                  <c:v>2.3153939294048289</c:v>
                </c:pt>
                <c:pt idx="1">
                  <c:v>0.67471178012169708</c:v>
                </c:pt>
                <c:pt idx="2">
                  <c:v>5.2772868778094645E-2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1.1200215130703977</c:v>
                </c:pt>
                <c:pt idx="11">
                  <c:v>2.2522967490498651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3-4D82-BE90-C8071D4EE935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val>
            <c:numRef>
              <c:f>PV_HP_self!$Y$128</c:f>
              <c:numCache>
                <c:formatCode>0.0</c:formatCode>
                <c:ptCount val="1"/>
                <c:pt idx="0">
                  <c:v>3.9981186789973941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13-4D82-BE90-C8071D4E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85680"/>
        <c:axId val="222986008"/>
      </c:barChart>
      <c:lineChart>
        <c:grouping val="standard"/>
        <c:varyColors val="0"/>
        <c:ser>
          <c:idx val="5"/>
          <c:order val="5"/>
          <c:tx>
            <c:strRef>
              <c:f>PV_HP_self!$C$129</c:f>
              <c:strCache>
                <c:ptCount val="1"/>
                <c:pt idx="0">
                  <c:v>PV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PV_HP_self!$F$129:$Q$129</c:f>
              <c:numCache>
                <c:formatCode>0.0</c:formatCode>
                <c:ptCount val="12"/>
                <c:pt idx="0">
                  <c:v>1.739500462735595</c:v>
                </c:pt>
                <c:pt idx="1">
                  <c:v>3.4409637682356209</c:v>
                </c:pt>
                <c:pt idx="2">
                  <c:v>4.7578391341602728</c:v>
                </c:pt>
                <c:pt idx="3">
                  <c:v>7.0249138809458822</c:v>
                </c:pt>
                <c:pt idx="4">
                  <c:v>8.1864385073400321</c:v>
                </c:pt>
                <c:pt idx="5">
                  <c:v>7.6169175105115006</c:v>
                </c:pt>
                <c:pt idx="6">
                  <c:v>7.9089273013543577</c:v>
                </c:pt>
                <c:pt idx="7">
                  <c:v>7.7305458649726422</c:v>
                </c:pt>
                <c:pt idx="8">
                  <c:v>6.127779480484481</c:v>
                </c:pt>
                <c:pt idx="9">
                  <c:v>4.0445356147185834</c:v>
                </c:pt>
                <c:pt idx="10">
                  <c:v>1.9301990447359374</c:v>
                </c:pt>
                <c:pt idx="11">
                  <c:v>1.2537839031255875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13-4D82-BE90-C8071D4EE935}"/>
            </c:ext>
          </c:extLst>
        </c:ser>
        <c:ser>
          <c:idx val="6"/>
          <c:order val="6"/>
          <c:tx>
            <c:strRef>
              <c:f>PV_HP_self!$Y$127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PV_HP_self!$Y$129</c:f>
              <c:numCache>
                <c:formatCode>0.0</c:formatCode>
                <c:ptCount val="1"/>
                <c:pt idx="0">
                  <c:v>8.1864385073400321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13-4D82-BE90-C8071D4EE935}"/>
            </c:ext>
          </c:extLst>
        </c:ser>
        <c:ser>
          <c:idx val="7"/>
          <c:order val="7"/>
          <c:tx>
            <c:strRef>
              <c:f>PV_HP_self!$C$133</c:f>
              <c:strCache>
                <c:ptCount val="1"/>
                <c:pt idx="0">
                  <c:v>PV self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PV_HP_self!$F$133:$Q$133</c:f>
              <c:numCache>
                <c:formatCode>0.0</c:formatCode>
                <c:ptCount val="12"/>
                <c:pt idx="0">
                  <c:v>0.84281665452201415</c:v>
                </c:pt>
                <c:pt idx="1">
                  <c:v>0.7497786755168635</c:v>
                </c:pt>
                <c:pt idx="2">
                  <c:v>0.76904286649298115</c:v>
                </c:pt>
                <c:pt idx="3">
                  <c:v>0.60234987155989017</c:v>
                </c:pt>
                <c:pt idx="4">
                  <c:v>0.5937988347285631</c:v>
                </c:pt>
                <c:pt idx="5">
                  <c:v>0.57386108137576386</c:v>
                </c:pt>
                <c:pt idx="6">
                  <c:v>0.58826445914859404</c:v>
                </c:pt>
                <c:pt idx="7">
                  <c:v>0.58977987366598228</c:v>
                </c:pt>
                <c:pt idx="8">
                  <c:v>0.60488841994067666</c:v>
                </c:pt>
                <c:pt idx="9">
                  <c:v>0.7044967947988533</c:v>
                </c:pt>
                <c:pt idx="10">
                  <c:v>0.79456790581849079</c:v>
                </c:pt>
                <c:pt idx="11">
                  <c:v>0.83674321679841224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4-47E8-948A-F3385794B68C}"/>
            </c:ext>
          </c:extLst>
        </c:ser>
        <c:ser>
          <c:idx val="8"/>
          <c:order val="8"/>
          <c:tx>
            <c:strRef>
              <c:f>PV_HP_self!$C$134</c:f>
              <c:strCache>
                <c:ptCount val="1"/>
                <c:pt idx="0">
                  <c:v>GRID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PV_HP_self!$F$134:$Q$134</c:f>
              <c:numCache>
                <c:formatCode>0.0</c:formatCode>
                <c:ptCount val="12"/>
                <c:pt idx="0">
                  <c:v>3.345503173820624</c:v>
                </c:pt>
                <c:pt idx="1">
                  <c:v>1.5911079390867522</c:v>
                </c:pt>
                <c:pt idx="2">
                  <c:v>0.99271415004729391</c:v>
                </c:pt>
                <c:pt idx="3">
                  <c:v>0.736205398573199</c:v>
                </c:pt>
                <c:pt idx="4">
                  <c:v>0.72575413133491051</c:v>
                </c:pt>
                <c:pt idx="5">
                  <c:v>0.70138576612593362</c:v>
                </c:pt>
                <c:pt idx="6">
                  <c:v>0.71898989451494821</c:v>
                </c:pt>
                <c:pt idx="7">
                  <c:v>0.7208420678139783</c:v>
                </c:pt>
                <c:pt idx="8">
                  <c:v>0.73930806881638245</c:v>
                </c:pt>
                <c:pt idx="9">
                  <c:v>0.8610516380874873</c:v>
                </c:pt>
                <c:pt idx="10">
                  <c:v>2.0911600646263317</c:v>
                </c:pt>
                <c:pt idx="11">
                  <c:v>3.2749829029145907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4-47E8-948A-F3385794B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39288"/>
        <c:axId val="1317938960"/>
      </c:line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Electricity / [kWh</a:t>
                </a:r>
                <a:r>
                  <a:rPr lang="de-AT" sz="1000" b="0" i="0" u="none" strike="noStrike" baseline="0">
                    <a:effectLst/>
                  </a:rPr>
                  <a:t>/(m</a:t>
                </a:r>
                <a:r>
                  <a:rPr lang="de-AT" sz="1000" b="0" i="0" u="none" strike="noStrike" baseline="30000">
                    <a:effectLst/>
                  </a:rPr>
                  <a:t>2</a:t>
                </a:r>
                <a:r>
                  <a:rPr lang="de-AT" sz="1000" b="0" i="0" u="none" strike="noStrike" baseline="-25000">
                    <a:effectLst/>
                  </a:rPr>
                  <a:t>TA</a:t>
                </a:r>
                <a:r>
                  <a:rPr lang="de-AT" sz="1000" b="0" i="0" u="none" strike="noStrike" baseline="0">
                    <a:effectLst/>
                  </a:rPr>
                  <a:t>·a)</a:t>
                </a:r>
                <a:r>
                  <a:rPr lang="de-AT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1317938960"/>
        <c:scaling>
          <c:orientation val="minMax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7939288"/>
        <c:crosses val="max"/>
        <c:crossBetween val="between"/>
      </c:valAx>
      <c:catAx>
        <c:axId val="1317939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79389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3396228649474412E-2"/>
          <c:y val="0.88403102782627196"/>
          <c:w val="0.96660377135052555"/>
          <c:h val="9.7527655680239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PV_HP_self!$D$142</c:f>
              <c:strCache>
                <c:ptCount val="1"/>
                <c:pt idx="0">
                  <c:v>primary 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PV_HP_self!$F$142:$Q$142</c:f>
              <c:numCache>
                <c:formatCode>0.0</c:formatCode>
                <c:ptCount val="12"/>
                <c:pt idx="0">
                  <c:v>6.7244613793794539</c:v>
                </c:pt>
                <c:pt idx="1">
                  <c:v>3.1185715606100342</c:v>
                </c:pt>
                <c:pt idx="2">
                  <c:v>1.8762297435893855</c:v>
                </c:pt>
                <c:pt idx="3">
                  <c:v>1.1779286377171185</c:v>
                </c:pt>
                <c:pt idx="4">
                  <c:v>0.96525299467543102</c:v>
                </c:pt>
                <c:pt idx="5">
                  <c:v>0.84166291935112036</c:v>
                </c:pt>
                <c:pt idx="6">
                  <c:v>0.84840807552763886</c:v>
                </c:pt>
                <c:pt idx="7">
                  <c:v>0.92267784680189235</c:v>
                </c:pt>
                <c:pt idx="8">
                  <c:v>1.1311413452890651</c:v>
                </c:pt>
                <c:pt idx="9">
                  <c:v>1.5326719157957276</c:v>
                </c:pt>
                <c:pt idx="10">
                  <c:v>4.0150273240825562</c:v>
                </c:pt>
                <c:pt idx="11">
                  <c:v>6.5827156348583271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7-4475-BC37-9DB66EBF5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49168"/>
        <c:axId val="871450808"/>
      </c:lineChart>
      <c:lineChart>
        <c:grouping val="standard"/>
        <c:varyColors val="0"/>
        <c:ser>
          <c:idx val="0"/>
          <c:order val="0"/>
          <c:tx>
            <c:strRef>
              <c:f>PV_HP_self!$C$141</c:f>
              <c:strCache>
                <c:ptCount val="1"/>
                <c:pt idx="0">
                  <c:v>fPE, non-RE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PV_HP_self!$F$141:$Q$141</c:f>
              <c:numCache>
                <c:formatCode>0.00</c:formatCode>
                <c:ptCount val="12"/>
                <c:pt idx="0">
                  <c:v>2.0099999999999998</c:v>
                </c:pt>
                <c:pt idx="1">
                  <c:v>1.96</c:v>
                </c:pt>
                <c:pt idx="2">
                  <c:v>1.89</c:v>
                </c:pt>
                <c:pt idx="3">
                  <c:v>1.6</c:v>
                </c:pt>
                <c:pt idx="4">
                  <c:v>1.33</c:v>
                </c:pt>
                <c:pt idx="5">
                  <c:v>1.2</c:v>
                </c:pt>
                <c:pt idx="6">
                  <c:v>1.18</c:v>
                </c:pt>
                <c:pt idx="7">
                  <c:v>1.28</c:v>
                </c:pt>
                <c:pt idx="8">
                  <c:v>1.53</c:v>
                </c:pt>
                <c:pt idx="9">
                  <c:v>1.78</c:v>
                </c:pt>
                <c:pt idx="10">
                  <c:v>1.92</c:v>
                </c:pt>
                <c:pt idx="1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7-4475-BC37-9DB66EBF5A6D}"/>
            </c:ext>
          </c:extLst>
        </c:ser>
        <c:ser>
          <c:idx val="2"/>
          <c:order val="2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0.48451648767978667</c:v>
                </c:pt>
                <c:pt idx="1">
                  <c:v>0.21789786990443025</c:v>
                </c:pt>
                <c:pt idx="2">
                  <c:v>0.16163700470060388</c:v>
                </c:pt>
                <c:pt idx="3">
                  <c:v>8.5744805099131793E-2</c:v>
                </c:pt>
                <c:pt idx="4">
                  <c:v>7.2534452460145879E-2</c:v>
                </c:pt>
                <c:pt idx="5">
                  <c:v>7.5340330334918812E-2</c:v>
                </c:pt>
                <c:pt idx="6">
                  <c:v>7.4379803573091027E-2</c:v>
                </c:pt>
                <c:pt idx="7">
                  <c:v>7.6292138222514697E-2</c:v>
                </c:pt>
                <c:pt idx="8">
                  <c:v>9.8712498037356322E-2</c:v>
                </c:pt>
                <c:pt idx="9">
                  <c:v>0.17418484145252652</c:v>
                </c:pt>
                <c:pt idx="10">
                  <c:v>0.41165076108883492</c:v>
                </c:pt>
                <c:pt idx="11">
                  <c:v>0.66737434952903396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7-4475-BC37-9DB66EBF5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48336"/>
        <c:axId val="965446696"/>
      </c:lineChart>
      <c:catAx>
        <c:axId val="87144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50808"/>
        <c:crossesAt val="-2000"/>
        <c:auto val="1"/>
        <c:lblAlgn val="ctr"/>
        <c:lblOffset val="100"/>
        <c:noMultiLvlLbl val="0"/>
      </c:catAx>
      <c:valAx>
        <c:axId val="8714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PE / [KWh/(m² a)]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49168"/>
        <c:crosses val="autoZero"/>
        <c:crossBetween val="between"/>
      </c:valAx>
      <c:valAx>
        <c:axId val="96544669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448336"/>
        <c:crosses val="max"/>
        <c:crossBetween val="between"/>
      </c:valAx>
      <c:catAx>
        <c:axId val="96544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654466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37597</xdr:colOff>
      <xdr:row>133</xdr:row>
      <xdr:rowOff>43283</xdr:rowOff>
    </xdr:from>
    <xdr:to>
      <xdr:col>36</xdr:col>
      <xdr:colOff>273787</xdr:colOff>
      <xdr:row>143</xdr:row>
      <xdr:rowOff>119762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66047</xdr:colOff>
      <xdr:row>111</xdr:row>
      <xdr:rowOff>29877</xdr:rowOff>
    </xdr:from>
    <xdr:to>
      <xdr:col>36</xdr:col>
      <xdr:colOff>302725</xdr:colOff>
      <xdr:row>121</xdr:row>
      <xdr:rowOff>88501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60181</xdr:colOff>
      <xdr:row>0</xdr:row>
      <xdr:rowOff>219984</xdr:rowOff>
    </xdr:from>
    <xdr:to>
      <xdr:col>36</xdr:col>
      <xdr:colOff>296859</xdr:colOff>
      <xdr:row>10</xdr:row>
      <xdr:rowOff>141034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46042</xdr:colOff>
      <xdr:row>122</xdr:row>
      <xdr:rowOff>7022</xdr:rowOff>
    </xdr:from>
    <xdr:to>
      <xdr:col>36</xdr:col>
      <xdr:colOff>282720</xdr:colOff>
      <xdr:row>132</xdr:row>
      <xdr:rowOff>175827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9006</xdr:colOff>
      <xdr:row>143</xdr:row>
      <xdr:rowOff>175639</xdr:rowOff>
    </xdr:from>
    <xdr:to>
      <xdr:col>36</xdr:col>
      <xdr:colOff>245196</xdr:colOff>
      <xdr:row>156</xdr:row>
      <xdr:rowOff>4423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2"/>
  <sheetViews>
    <sheetView tabSelected="1" topLeftCell="C9" zoomScale="80" zoomScaleNormal="80" workbookViewId="0">
      <selection activeCell="G133" sqref="G133"/>
    </sheetView>
  </sheetViews>
  <sheetFormatPr defaultColWidth="8.7109375" defaultRowHeight="15" x14ac:dyDescent="0.25"/>
  <cols>
    <col min="1" max="1" width="11.85546875" hidden="1" customWidth="1"/>
    <col min="2" max="2" width="8.7109375" hidden="1" customWidth="1"/>
    <col min="3" max="3" width="9.140625" customWidth="1"/>
    <col min="4" max="4" width="20.28515625" bestFit="1" customWidth="1"/>
    <col min="5" max="5" width="12.5703125" customWidth="1"/>
    <col min="6" max="18" width="7.5703125" customWidth="1"/>
    <col min="19" max="19" width="8.42578125" hidden="1" customWidth="1"/>
    <col min="20" max="20" width="5.85546875" hidden="1" customWidth="1"/>
    <col min="21" max="21" width="5.28515625" hidden="1" customWidth="1"/>
    <col min="22" max="22" width="8.7109375" customWidth="1"/>
    <col min="23" max="27" width="5.7109375" customWidth="1"/>
    <col min="28" max="31" width="5" bestFit="1" customWidth="1"/>
    <col min="32" max="35" width="4.5703125" bestFit="1" customWidth="1"/>
    <col min="36" max="40" width="5" bestFit="1" customWidth="1"/>
    <col min="41" max="41" width="6" bestFit="1" customWidth="1"/>
    <col min="42" max="42" width="5.140625" customWidth="1"/>
    <col min="43" max="44" width="4.140625" customWidth="1"/>
  </cols>
  <sheetData>
    <row r="1" spans="1:17" ht="21" x14ac:dyDescent="0.35">
      <c r="D1" s="17" t="s">
        <v>236</v>
      </c>
    </row>
    <row r="2" spans="1:17" x14ac:dyDescent="0.25">
      <c r="D2" t="s">
        <v>19</v>
      </c>
      <c r="E2" s="72" t="s">
        <v>243</v>
      </c>
      <c r="F2" s="73"/>
      <c r="G2" s="73"/>
      <c r="H2" s="73"/>
      <c r="I2" s="73"/>
      <c r="J2" s="73"/>
      <c r="K2" s="74"/>
      <c r="L2" t="str">
        <f>""</f>
        <v/>
      </c>
      <c r="M2" s="42" t="s">
        <v>159</v>
      </c>
      <c r="N2" s="43"/>
      <c r="O2" s="43"/>
      <c r="P2" s="43"/>
      <c r="Q2" s="44"/>
    </row>
    <row r="3" spans="1:17" x14ac:dyDescent="0.25">
      <c r="D3" t="s">
        <v>20</v>
      </c>
      <c r="E3" s="72" t="s">
        <v>244</v>
      </c>
      <c r="F3" s="73"/>
      <c r="G3" s="73"/>
      <c r="H3" s="73"/>
      <c r="I3" s="73"/>
      <c r="J3" s="73"/>
      <c r="K3" s="74"/>
      <c r="M3" s="63" t="str">
        <f ca="1">IF(OR($F$60=1,ISBLANK(E2),ISBLANK(E3)),"","Please type correct path and filename")</f>
        <v/>
      </c>
      <c r="N3" s="64"/>
      <c r="O3" s="64"/>
      <c r="P3" s="64"/>
      <c r="Q3" s="65"/>
    </row>
    <row r="4" spans="1:17" x14ac:dyDescent="0.25">
      <c r="D4" t="s">
        <v>151</v>
      </c>
      <c r="E4" s="69" t="s">
        <v>158</v>
      </c>
    </row>
    <row r="6" spans="1:17" ht="21" x14ac:dyDescent="0.35">
      <c r="D6" s="17" t="s">
        <v>166</v>
      </c>
    </row>
    <row r="7" spans="1:17" x14ac:dyDescent="0.25">
      <c r="D7" t="s">
        <v>164</v>
      </c>
    </row>
    <row r="8" spans="1:17" x14ac:dyDescent="0.25">
      <c r="D8" t="s">
        <v>165</v>
      </c>
    </row>
    <row r="9" spans="1:17" x14ac:dyDescent="0.25">
      <c r="D9" t="s">
        <v>82</v>
      </c>
    </row>
    <row r="10" spans="1:17" x14ac:dyDescent="0.25">
      <c r="D10" t="s">
        <v>234</v>
      </c>
    </row>
    <row r="11" spans="1:17" x14ac:dyDescent="0.25">
      <c r="D11" t="s">
        <v>189</v>
      </c>
    </row>
    <row r="13" spans="1:17" ht="21" hidden="1" x14ac:dyDescent="0.35">
      <c r="A13" s="17" t="s">
        <v>80</v>
      </c>
    </row>
    <row r="14" spans="1:17" hidden="1" x14ac:dyDescent="0.25">
      <c r="A14" t="s">
        <v>81</v>
      </c>
    </row>
    <row r="15" spans="1:17" hidden="1" x14ac:dyDescent="0.25">
      <c r="A15" s="27" t="s">
        <v>152</v>
      </c>
    </row>
    <row r="16" spans="1:17" hidden="1" x14ac:dyDescent="0.25"/>
    <row r="17" spans="1:23" ht="21" hidden="1" x14ac:dyDescent="0.35">
      <c r="A17" s="17" t="s">
        <v>72</v>
      </c>
      <c r="T17">
        <f>VALUE(LEFT($E$4,1))</f>
        <v>2</v>
      </c>
    </row>
    <row r="18" spans="1:23" hidden="1" x14ac:dyDescent="0.25">
      <c r="F18" t="s">
        <v>0</v>
      </c>
      <c r="G18" t="s">
        <v>1</v>
      </c>
      <c r="H18" t="s">
        <v>2</v>
      </c>
      <c r="J18" t="s">
        <v>4</v>
      </c>
      <c r="K18" t="s">
        <v>0</v>
      </c>
      <c r="L18" t="s">
        <v>1</v>
      </c>
      <c r="M18" t="s">
        <v>3</v>
      </c>
      <c r="T18" s="3" t="s">
        <v>154</v>
      </c>
      <c r="U18" s="3" t="s">
        <v>153</v>
      </c>
    </row>
    <row r="19" spans="1:23" hidden="1" x14ac:dyDescent="0.25">
      <c r="F19" t="s">
        <v>5</v>
      </c>
      <c r="G19" t="s">
        <v>5</v>
      </c>
      <c r="H19" t="s">
        <v>5</v>
      </c>
      <c r="K19" t="s">
        <v>5</v>
      </c>
      <c r="L19" t="s">
        <v>5</v>
      </c>
      <c r="M19" t="s">
        <v>5</v>
      </c>
      <c r="T19" s="30" t="s">
        <v>157</v>
      </c>
      <c r="U19" s="30" t="s">
        <v>158</v>
      </c>
      <c r="V19" s="3"/>
    </row>
    <row r="20" spans="1:23" hidden="1" x14ac:dyDescent="0.25">
      <c r="A20" t="s">
        <v>21</v>
      </c>
      <c r="B20" s="28" t="str">
        <f>INDEX($T20:$U20,,VALUE(LEFT($E$4,1)))</f>
        <v>HP</v>
      </c>
      <c r="E20" t="s">
        <v>22</v>
      </c>
      <c r="F20" s="1" t="s">
        <v>24</v>
      </c>
      <c r="G20" s="1" t="s">
        <v>25</v>
      </c>
      <c r="H20" s="1" t="s">
        <v>26</v>
      </c>
      <c r="J20" s="2" t="s">
        <v>27</v>
      </c>
      <c r="K20" s="1" t="s">
        <v>28</v>
      </c>
      <c r="L20" s="1" t="s">
        <v>29</v>
      </c>
      <c r="M20" s="1" t="s">
        <v>30</v>
      </c>
      <c r="T20" s="8" t="s">
        <v>23</v>
      </c>
      <c r="U20" s="8" t="s">
        <v>150</v>
      </c>
    </row>
    <row r="21" spans="1:23" ht="15.75" hidden="1" thickBot="1" x14ac:dyDescent="0.3">
      <c r="B21" s="29"/>
      <c r="F21" s="4">
        <v>1</v>
      </c>
      <c r="G21" s="4">
        <f t="shared" ref="G21" si="0">F21+1</f>
        <v>2</v>
      </c>
      <c r="H21" s="4">
        <f t="shared" ref="H21" si="1">G21+1</f>
        <v>3</v>
      </c>
      <c r="I21" s="4">
        <f t="shared" ref="I21" si="2">H21+1</f>
        <v>4</v>
      </c>
      <c r="J21" s="4">
        <f t="shared" ref="J21" si="3">I21+1</f>
        <v>5</v>
      </c>
      <c r="K21" s="4">
        <f t="shared" ref="K21" si="4">J21+1</f>
        <v>6</v>
      </c>
      <c r="L21" s="4">
        <f t="shared" ref="L21" si="5">K21+1</f>
        <v>7</v>
      </c>
      <c r="M21" s="4">
        <f t="shared" ref="M21" si="6">L21+1</f>
        <v>8</v>
      </c>
      <c r="N21" s="4">
        <f t="shared" ref="N21" si="7">M21+1</f>
        <v>9</v>
      </c>
      <c r="O21" s="4">
        <f t="shared" ref="O21" si="8">N21+1</f>
        <v>10</v>
      </c>
      <c r="P21" s="4">
        <f t="shared" ref="P21" si="9">O21+1</f>
        <v>11</v>
      </c>
      <c r="Q21" s="5">
        <f t="shared" ref="Q21" si="10">P21+1</f>
        <v>12</v>
      </c>
    </row>
    <row r="22" spans="1:23" hidden="1" x14ac:dyDescent="0.25">
      <c r="A22" t="s">
        <v>21</v>
      </c>
      <c r="B22" s="28" t="str">
        <f t="shared" ref="B22:B37" si="11">INDEX($T22:$U22,,VALUE(LEFT($E$4,1)))</f>
        <v>Climate</v>
      </c>
      <c r="C22" t="s">
        <v>88</v>
      </c>
      <c r="D22" t="s">
        <v>97</v>
      </c>
      <c r="E22" t="s">
        <v>8</v>
      </c>
      <c r="F22" s="8" t="s">
        <v>99</v>
      </c>
      <c r="G22" s="8" t="s">
        <v>100</v>
      </c>
      <c r="H22" s="8" t="s">
        <v>101</v>
      </c>
      <c r="I22" s="8" t="s">
        <v>102</v>
      </c>
      <c r="J22" s="8" t="s">
        <v>103</v>
      </c>
      <c r="K22" s="8" t="s">
        <v>104</v>
      </c>
      <c r="L22" s="8" t="s">
        <v>105</v>
      </c>
      <c r="M22" s="8" t="s">
        <v>106</v>
      </c>
      <c r="N22" s="8" t="s">
        <v>107</v>
      </c>
      <c r="O22" s="8" t="s">
        <v>108</v>
      </c>
      <c r="P22" s="8" t="s">
        <v>109</v>
      </c>
      <c r="Q22" s="8" t="s">
        <v>110</v>
      </c>
      <c r="T22" s="30" t="s">
        <v>98</v>
      </c>
      <c r="U22" s="30" t="s">
        <v>155</v>
      </c>
      <c r="W22" s="24"/>
    </row>
    <row r="23" spans="1:23" hidden="1" x14ac:dyDescent="0.25">
      <c r="A23" t="s">
        <v>21</v>
      </c>
      <c r="B23" s="28" t="str">
        <f t="shared" si="11"/>
        <v>HP</v>
      </c>
      <c r="D23" t="s">
        <v>111</v>
      </c>
      <c r="E23" t="s">
        <v>8</v>
      </c>
      <c r="F23" s="8" t="s">
        <v>112</v>
      </c>
      <c r="G23" s="8" t="s">
        <v>113</v>
      </c>
      <c r="H23" s="8" t="s">
        <v>114</v>
      </c>
      <c r="I23" s="8" t="s">
        <v>115</v>
      </c>
      <c r="J23" s="8" t="s">
        <v>116</v>
      </c>
      <c r="K23" s="8" t="s">
        <v>117</v>
      </c>
      <c r="L23" s="8" t="s">
        <v>118</v>
      </c>
      <c r="M23" s="8" t="s">
        <v>119</v>
      </c>
      <c r="N23" s="8" t="s">
        <v>120</v>
      </c>
      <c r="O23" s="8" t="s">
        <v>121</v>
      </c>
      <c r="P23" s="8" t="s">
        <v>122</v>
      </c>
      <c r="Q23" s="8" t="s">
        <v>123</v>
      </c>
      <c r="T23" s="8" t="s">
        <v>23</v>
      </c>
      <c r="U23" s="8" t="s">
        <v>150</v>
      </c>
      <c r="W23" s="24"/>
    </row>
    <row r="24" spans="1:23" hidden="1" x14ac:dyDescent="0.25">
      <c r="A24" t="s">
        <v>21</v>
      </c>
      <c r="B24" s="28" t="str">
        <f t="shared" si="11"/>
        <v>HP</v>
      </c>
      <c r="D24" t="s">
        <v>136</v>
      </c>
      <c r="E24" t="s">
        <v>8</v>
      </c>
      <c r="F24" s="8" t="s">
        <v>124</v>
      </c>
      <c r="G24" s="8" t="s">
        <v>125</v>
      </c>
      <c r="H24" s="8" t="s">
        <v>126</v>
      </c>
      <c r="I24" s="8" t="s">
        <v>127</v>
      </c>
      <c r="J24" s="8" t="s">
        <v>128</v>
      </c>
      <c r="K24" s="8" t="s">
        <v>129</v>
      </c>
      <c r="L24" s="8" t="s">
        <v>130</v>
      </c>
      <c r="M24" s="8" t="s">
        <v>131</v>
      </c>
      <c r="N24" s="8" t="s">
        <v>132</v>
      </c>
      <c r="O24" s="8" t="s">
        <v>133</v>
      </c>
      <c r="P24" s="8" t="s">
        <v>134</v>
      </c>
      <c r="Q24" s="8" t="s">
        <v>135</v>
      </c>
      <c r="T24" s="8" t="s">
        <v>23</v>
      </c>
      <c r="U24" s="8" t="s">
        <v>150</v>
      </c>
      <c r="W24" s="24"/>
    </row>
    <row r="25" spans="1:23" hidden="1" x14ac:dyDescent="0.25">
      <c r="A25" t="s">
        <v>21</v>
      </c>
      <c r="B25" s="28" t="str">
        <f t="shared" si="11"/>
        <v>HP</v>
      </c>
      <c r="D25" t="s">
        <v>83</v>
      </c>
      <c r="F25" s="7" t="s">
        <v>84</v>
      </c>
      <c r="T25" s="8" t="s">
        <v>23</v>
      </c>
      <c r="U25" s="8" t="s">
        <v>150</v>
      </c>
      <c r="W25" s="24"/>
    </row>
    <row r="26" spans="1:23" hidden="1" x14ac:dyDescent="0.25">
      <c r="A26" t="s">
        <v>21</v>
      </c>
      <c r="B26" s="28" t="str">
        <f t="shared" si="11"/>
        <v>HP</v>
      </c>
      <c r="D26" t="s">
        <v>9</v>
      </c>
      <c r="E26" t="s">
        <v>8</v>
      </c>
      <c r="F26" s="7" t="s">
        <v>31</v>
      </c>
      <c r="T26" s="8" t="s">
        <v>23</v>
      </c>
      <c r="U26" s="8" t="s">
        <v>150</v>
      </c>
      <c r="W26" s="24"/>
    </row>
    <row r="27" spans="1:23" hidden="1" x14ac:dyDescent="0.25">
      <c r="A27" t="s">
        <v>21</v>
      </c>
      <c r="B27" s="28" t="str">
        <f t="shared" si="11"/>
        <v>HP</v>
      </c>
      <c r="D27" t="s">
        <v>85</v>
      </c>
      <c r="F27" s="7" t="s">
        <v>89</v>
      </c>
      <c r="T27" s="8" t="s">
        <v>23</v>
      </c>
      <c r="U27" s="8" t="s">
        <v>150</v>
      </c>
      <c r="W27" s="24"/>
    </row>
    <row r="28" spans="1:23" hidden="1" x14ac:dyDescent="0.25">
      <c r="A28" t="s">
        <v>21</v>
      </c>
      <c r="B28" s="28" t="str">
        <f t="shared" si="11"/>
        <v>HP</v>
      </c>
      <c r="D28" t="s">
        <v>86</v>
      </c>
      <c r="F28" s="7" t="s">
        <v>87</v>
      </c>
      <c r="T28" s="8" t="s">
        <v>23</v>
      </c>
      <c r="U28" s="8" t="s">
        <v>150</v>
      </c>
      <c r="W28" s="24"/>
    </row>
    <row r="29" spans="1:23" hidden="1" x14ac:dyDescent="0.25">
      <c r="A29" t="s">
        <v>21</v>
      </c>
      <c r="B29" s="28" t="str">
        <f t="shared" si="11"/>
        <v>HP</v>
      </c>
      <c r="D29" t="s">
        <v>10</v>
      </c>
      <c r="E29" t="s">
        <v>8</v>
      </c>
      <c r="F29" s="7" t="s">
        <v>32</v>
      </c>
      <c r="T29" s="8" t="s">
        <v>23</v>
      </c>
      <c r="U29" s="8" t="s">
        <v>150</v>
      </c>
      <c r="W29" s="24"/>
    </row>
    <row r="30" spans="1:23" hidden="1" x14ac:dyDescent="0.25">
      <c r="A30" t="s">
        <v>21</v>
      </c>
      <c r="B30" s="28" t="str">
        <f t="shared" si="11"/>
        <v>SolarDHW</v>
      </c>
      <c r="D30" t="s">
        <v>73</v>
      </c>
      <c r="E30" t="s">
        <v>5</v>
      </c>
      <c r="F30" s="8" t="s">
        <v>169</v>
      </c>
      <c r="G30" s="8" t="s">
        <v>170</v>
      </c>
      <c r="H30" s="8" t="s">
        <v>171</v>
      </c>
      <c r="I30" s="8" t="s">
        <v>172</v>
      </c>
      <c r="J30" s="8" t="s">
        <v>173</v>
      </c>
      <c r="K30" s="8" t="s">
        <v>174</v>
      </c>
      <c r="L30" s="8" t="s">
        <v>175</v>
      </c>
      <c r="M30" s="8" t="s">
        <v>176</v>
      </c>
      <c r="N30" s="8" t="s">
        <v>177</v>
      </c>
      <c r="O30" s="8" t="s">
        <v>178</v>
      </c>
      <c r="P30" s="8" t="s">
        <v>179</v>
      </c>
      <c r="Q30" s="8" t="s">
        <v>180</v>
      </c>
      <c r="T30" s="30" t="s">
        <v>69</v>
      </c>
      <c r="U30" s="30" t="s">
        <v>156</v>
      </c>
      <c r="W30" s="24"/>
    </row>
    <row r="31" spans="1:23" hidden="1" x14ac:dyDescent="0.25">
      <c r="A31" t="s">
        <v>21</v>
      </c>
      <c r="B31" s="28" t="str">
        <f t="shared" si="11"/>
        <v>SolarDHW</v>
      </c>
      <c r="D31" t="s">
        <v>76</v>
      </c>
      <c r="E31" t="s">
        <v>5</v>
      </c>
      <c r="F31" s="8" t="s">
        <v>33</v>
      </c>
      <c r="G31" s="8" t="s">
        <v>34</v>
      </c>
      <c r="H31" s="8" t="s">
        <v>35</v>
      </c>
      <c r="I31" s="8" t="s">
        <v>36</v>
      </c>
      <c r="J31" s="8" t="s">
        <v>37</v>
      </c>
      <c r="K31" s="8" t="s">
        <v>38</v>
      </c>
      <c r="L31" s="8" t="s">
        <v>39</v>
      </c>
      <c r="M31" s="8" t="s">
        <v>40</v>
      </c>
      <c r="N31" s="8" t="s">
        <v>41</v>
      </c>
      <c r="O31" s="8" t="s">
        <v>42</v>
      </c>
      <c r="P31" s="8" t="s">
        <v>43</v>
      </c>
      <c r="Q31" s="8" t="s">
        <v>44</v>
      </c>
      <c r="T31" s="30" t="s">
        <v>69</v>
      </c>
      <c r="U31" s="30" t="s">
        <v>156</v>
      </c>
      <c r="W31" s="24"/>
    </row>
    <row r="32" spans="1:23" hidden="1" x14ac:dyDescent="0.25">
      <c r="A32" t="s">
        <v>21</v>
      </c>
      <c r="B32" s="28" t="str">
        <f t="shared" si="11"/>
        <v>SolarDHW</v>
      </c>
      <c r="D32" t="s">
        <v>74</v>
      </c>
      <c r="E32" t="s">
        <v>5</v>
      </c>
      <c r="F32" s="8" t="s">
        <v>45</v>
      </c>
      <c r="G32" s="8" t="s">
        <v>46</v>
      </c>
      <c r="H32" s="8" t="s">
        <v>47</v>
      </c>
      <c r="I32" s="8" t="s">
        <v>48</v>
      </c>
      <c r="J32" s="8" t="s">
        <v>49</v>
      </c>
      <c r="K32" s="8" t="s">
        <v>50</v>
      </c>
      <c r="L32" s="8" t="s">
        <v>51</v>
      </c>
      <c r="M32" s="8" t="s">
        <v>52</v>
      </c>
      <c r="N32" s="8" t="s">
        <v>53</v>
      </c>
      <c r="O32" s="8" t="s">
        <v>54</v>
      </c>
      <c r="P32" s="8" t="s">
        <v>55</v>
      </c>
      <c r="Q32" s="8" t="s">
        <v>56</v>
      </c>
      <c r="T32" s="30" t="s">
        <v>69</v>
      </c>
      <c r="U32" s="30" t="s">
        <v>156</v>
      </c>
      <c r="W32" s="24"/>
    </row>
    <row r="33" spans="1:21" hidden="1" x14ac:dyDescent="0.25">
      <c r="A33" t="s">
        <v>21</v>
      </c>
      <c r="B33" s="28" t="str">
        <f t="shared" si="11"/>
        <v>SolarDHW</v>
      </c>
      <c r="D33" t="s">
        <v>75</v>
      </c>
      <c r="E33" t="s">
        <v>5</v>
      </c>
      <c r="F33" s="8" t="s">
        <v>57</v>
      </c>
      <c r="G33" s="8" t="s">
        <v>58</v>
      </c>
      <c r="H33" s="8" t="s">
        <v>59</v>
      </c>
      <c r="I33" s="8" t="s">
        <v>60</v>
      </c>
      <c r="J33" s="8" t="s">
        <v>61</v>
      </c>
      <c r="K33" s="8" t="s">
        <v>62</v>
      </c>
      <c r="L33" s="8" t="s">
        <v>63</v>
      </c>
      <c r="M33" s="8" t="s">
        <v>64</v>
      </c>
      <c r="N33" s="8" t="s">
        <v>65</v>
      </c>
      <c r="O33" s="8" t="s">
        <v>66</v>
      </c>
      <c r="P33" s="8" t="s">
        <v>67</v>
      </c>
      <c r="Q33" s="8" t="s">
        <v>68</v>
      </c>
      <c r="T33" s="30" t="s">
        <v>69</v>
      </c>
      <c r="U33" s="30" t="s">
        <v>156</v>
      </c>
    </row>
    <row r="34" spans="1:21" hidden="1" x14ac:dyDescent="0.25">
      <c r="A34" t="s">
        <v>21</v>
      </c>
      <c r="B34" s="28" t="str">
        <f t="shared" si="11"/>
        <v>PV</v>
      </c>
      <c r="D34" t="s">
        <v>137</v>
      </c>
      <c r="E34" t="s">
        <v>5</v>
      </c>
      <c r="F34" s="8" t="s">
        <v>138</v>
      </c>
      <c r="G34" s="8" t="s">
        <v>139</v>
      </c>
      <c r="H34" s="8" t="s">
        <v>140</v>
      </c>
      <c r="I34" s="8" t="s">
        <v>141</v>
      </c>
      <c r="J34" s="8" t="s">
        <v>142</v>
      </c>
      <c r="K34" s="8" t="s">
        <v>143</v>
      </c>
      <c r="L34" s="8" t="s">
        <v>144</v>
      </c>
      <c r="M34" s="8" t="s">
        <v>145</v>
      </c>
      <c r="N34" s="8" t="s">
        <v>146</v>
      </c>
      <c r="O34" s="8" t="s">
        <v>147</v>
      </c>
      <c r="P34" s="8" t="s">
        <v>148</v>
      </c>
      <c r="Q34" s="8" t="s">
        <v>149</v>
      </c>
      <c r="T34" s="8" t="s">
        <v>137</v>
      </c>
      <c r="U34" s="8" t="s">
        <v>137</v>
      </c>
    </row>
    <row r="35" spans="1:21" hidden="1" x14ac:dyDescent="0.25">
      <c r="A35" t="s">
        <v>21</v>
      </c>
      <c r="B35" s="28" t="str">
        <f t="shared" si="11"/>
        <v>Electricity</v>
      </c>
      <c r="D35" t="s">
        <v>185</v>
      </c>
      <c r="E35" t="s">
        <v>5</v>
      </c>
      <c r="F35" s="8" t="s">
        <v>184</v>
      </c>
      <c r="T35" s="8" t="s">
        <v>188</v>
      </c>
      <c r="U35" s="8" t="s">
        <v>181</v>
      </c>
    </row>
    <row r="36" spans="1:21" hidden="1" x14ac:dyDescent="0.25">
      <c r="A36" t="s">
        <v>21</v>
      </c>
      <c r="B36" s="28" t="str">
        <f t="shared" si="11"/>
        <v>Aux Electricity</v>
      </c>
      <c r="D36" t="s">
        <v>186</v>
      </c>
      <c r="E36" t="s">
        <v>5</v>
      </c>
      <c r="F36" s="8" t="s">
        <v>183</v>
      </c>
      <c r="T36" s="50" t="s">
        <v>187</v>
      </c>
      <c r="U36" s="8" t="s">
        <v>182</v>
      </c>
    </row>
    <row r="37" spans="1:21" hidden="1" x14ac:dyDescent="0.25">
      <c r="A37" t="s">
        <v>21</v>
      </c>
      <c r="B37" s="28" t="str">
        <f t="shared" si="11"/>
        <v>Verification</v>
      </c>
      <c r="D37" t="s">
        <v>225</v>
      </c>
      <c r="E37" t="s">
        <v>221</v>
      </c>
      <c r="F37" s="8" t="s">
        <v>224</v>
      </c>
      <c r="T37" s="50" t="s">
        <v>223</v>
      </c>
      <c r="U37" s="30" t="s">
        <v>222</v>
      </c>
    </row>
    <row r="38" spans="1:21" hidden="1" x14ac:dyDescent="0.25"/>
    <row r="39" spans="1:21" ht="21" hidden="1" x14ac:dyDescent="0.35">
      <c r="A39" s="17" t="s">
        <v>71</v>
      </c>
    </row>
    <row r="40" spans="1:21" hidden="1" x14ac:dyDescent="0.25">
      <c r="F40" t="s">
        <v>0</v>
      </c>
      <c r="G40" t="s">
        <v>1</v>
      </c>
      <c r="H40" t="s">
        <v>2</v>
      </c>
      <c r="J40" t="s">
        <v>4</v>
      </c>
      <c r="K40" t="s">
        <v>0</v>
      </c>
      <c r="L40" t="s">
        <v>1</v>
      </c>
      <c r="M40" t="s">
        <v>3</v>
      </c>
    </row>
    <row r="41" spans="1:21" hidden="1" x14ac:dyDescent="0.25">
      <c r="F41" t="s">
        <v>5</v>
      </c>
      <c r="G41" t="s">
        <v>5</v>
      </c>
      <c r="H41" t="s">
        <v>5</v>
      </c>
      <c r="K41" t="s">
        <v>5</v>
      </c>
      <c r="L41" t="s">
        <v>5</v>
      </c>
      <c r="M41" t="s">
        <v>5</v>
      </c>
    </row>
    <row r="42" spans="1:21" hidden="1" x14ac:dyDescent="0.25">
      <c r="F42" s="13">
        <f ca="1">INDIRECT("'"&amp;$E$2&amp;"\["&amp;$E$3&amp;"]"&amp;$B20&amp;"'!"&amp;F20)</f>
        <v>1000.7707071062819</v>
      </c>
      <c r="G42" s="13">
        <f ca="1">INDIRECT("'"&amp;$E$2&amp;"\["&amp;$E$3&amp;"]"&amp;$B20&amp;"'!"&amp;G20)</f>
        <v>651.23315950798133</v>
      </c>
      <c r="H42" s="13">
        <f ca="1">INDIRECT("'"&amp;$E$2&amp;"\["&amp;$E$3&amp;"]"&amp;$B20&amp;"'!"&amp;H20)</f>
        <v>1652.0038666142632</v>
      </c>
      <c r="I42" s="14"/>
      <c r="J42" s="15">
        <f ca="1">INDIRECT("'"&amp;$E$2&amp;"\["&amp;$E$3&amp;"]"&amp;$B20&amp;"'!"&amp;J20)</f>
        <v>1.6284242225670851</v>
      </c>
      <c r="K42" s="13">
        <f ca="1">INDIRECT("'"&amp;$E$2&amp;"\["&amp;$E$3&amp;"]"&amp;$B20&amp;"'!"&amp;K20)</f>
        <v>1000.7707071062819</v>
      </c>
      <c r="L42" s="13">
        <f ca="1">INDIRECT("'"&amp;$E$2&amp;"\["&amp;$E$3&amp;"]"&amp;$B20&amp;"'!"&amp;L20)</f>
        <v>651.23315950798133</v>
      </c>
      <c r="M42" s="13">
        <f ca="1">INDIRECT("'"&amp;$E$2&amp;"\["&amp;$E$3&amp;"]"&amp;$B20&amp;"'!"&amp;M20)</f>
        <v>1652.0038666142632</v>
      </c>
    </row>
    <row r="43" spans="1:21" ht="15.75" hidden="1" thickBot="1" x14ac:dyDescent="0.3">
      <c r="F43" s="4">
        <v>1</v>
      </c>
      <c r="G43" s="4">
        <f t="shared" ref="G43" si="12">F43+1</f>
        <v>2</v>
      </c>
      <c r="H43" s="4">
        <f t="shared" ref="H43" si="13">G43+1</f>
        <v>3</v>
      </c>
      <c r="I43" s="4">
        <f t="shared" ref="I43" si="14">H43+1</f>
        <v>4</v>
      </c>
      <c r="J43" s="4">
        <f t="shared" ref="J43" si="15">I43+1</f>
        <v>5</v>
      </c>
      <c r="K43" s="4">
        <f t="shared" ref="K43" si="16">J43+1</f>
        <v>6</v>
      </c>
      <c r="L43" s="4">
        <f t="shared" ref="L43" si="17">K43+1</f>
        <v>7</v>
      </c>
      <c r="M43" s="4">
        <f t="shared" ref="M43" si="18">L43+1</f>
        <v>8</v>
      </c>
      <c r="N43" s="4">
        <f t="shared" ref="N43" si="19">M43+1</f>
        <v>9</v>
      </c>
      <c r="O43" s="4">
        <f t="shared" ref="O43" si="20">N43+1</f>
        <v>10</v>
      </c>
      <c r="P43" s="4">
        <f t="shared" ref="P43" si="21">O43+1</f>
        <v>11</v>
      </c>
      <c r="Q43" s="5">
        <f t="shared" ref="Q43" si="22">P43+1</f>
        <v>12</v>
      </c>
    </row>
    <row r="44" spans="1:21" hidden="1" x14ac:dyDescent="0.25">
      <c r="D44" t="str">
        <f t="shared" ref="D44:E59" si="23">IF(ISBLANK(D22),"",D22)</f>
        <v>theta amb</v>
      </c>
      <c r="E44" t="str">
        <f t="shared" si="23"/>
        <v>°C</v>
      </c>
      <c r="F44" s="16">
        <f t="shared" ref="F44:Q44" ca="1" si="24">INDIRECT("'"&amp;$E$2&amp;"\["&amp;$E$3&amp;"]"&amp;$B22&amp;"'!"&amp;F22)</f>
        <v>0.4</v>
      </c>
      <c r="G44" s="16">
        <f t="shared" ca="1" si="24"/>
        <v>1.3</v>
      </c>
      <c r="H44" s="16">
        <f t="shared" ca="1" si="24"/>
        <v>4.4000000000000004</v>
      </c>
      <c r="I44" s="16">
        <f t="shared" ca="1" si="24"/>
        <v>8.4</v>
      </c>
      <c r="J44" s="16">
        <f t="shared" ca="1" si="24"/>
        <v>12.9</v>
      </c>
      <c r="K44" s="16">
        <f t="shared" ca="1" si="24"/>
        <v>16.3</v>
      </c>
      <c r="L44" s="16">
        <f t="shared" ca="1" si="24"/>
        <v>17.600000000000001</v>
      </c>
      <c r="M44" s="16">
        <f t="shared" ca="1" si="24"/>
        <v>17</v>
      </c>
      <c r="N44" s="16">
        <f t="shared" ca="1" si="24"/>
        <v>13.9</v>
      </c>
      <c r="O44" s="16">
        <f t="shared" ca="1" si="24"/>
        <v>9.4</v>
      </c>
      <c r="P44" s="16">
        <f t="shared" ca="1" si="24"/>
        <v>4.7</v>
      </c>
      <c r="Q44" s="16">
        <f t="shared" ca="1" si="24"/>
        <v>1.6</v>
      </c>
    </row>
    <row r="45" spans="1:21" hidden="1" x14ac:dyDescent="0.25">
      <c r="D45" t="str">
        <f t="shared" si="23"/>
        <v>theta gw</v>
      </c>
      <c r="E45" t="str">
        <f t="shared" si="23"/>
        <v>°C</v>
      </c>
      <c r="F45" s="16">
        <f t="shared" ref="F45:Q45" ca="1" si="25">INDIRECT("'"&amp;$E$2&amp;"\["&amp;$E$3&amp;"]"&amp;$B23&amp;"'!"&amp;F23)</f>
        <v>1.6956781117537094</v>
      </c>
      <c r="G45" s="16">
        <f t="shared" ca="1" si="25"/>
        <v>3.8431137412751122</v>
      </c>
      <c r="H45" s="16">
        <f t="shared" ca="1" si="25"/>
        <v>7.5408176895942365</v>
      </c>
      <c r="I45" s="16">
        <f t="shared" ca="1" si="25"/>
        <v>12.00063112744923</v>
      </c>
      <c r="J45" s="16">
        <f t="shared" ca="1" si="25"/>
        <v>15.919794617053533</v>
      </c>
      <c r="K45" s="16">
        <f t="shared" ca="1" si="25"/>
        <v>18.243587888733884</v>
      </c>
      <c r="L45" s="16">
        <f t="shared" ca="1" si="25"/>
        <v>18.346634666998639</v>
      </c>
      <c r="M45" s="16">
        <f t="shared" ca="1" si="25"/>
        <v>16.149788300511339</v>
      </c>
      <c r="N45" s="16">
        <f t="shared" ca="1" si="25"/>
        <v>12.313519688049915</v>
      </c>
      <c r="O45" s="16">
        <f t="shared" ca="1" si="25"/>
        <v>7.8523969577771719</v>
      </c>
      <c r="P45" s="16">
        <f t="shared" ca="1" si="25"/>
        <v>3.9669917575969471</v>
      </c>
      <c r="Q45" s="16">
        <f t="shared" ca="1" si="25"/>
        <v>1.7029393694754216</v>
      </c>
    </row>
    <row r="46" spans="1:21" hidden="1" x14ac:dyDescent="0.25">
      <c r="D46" t="str">
        <f t="shared" si="23"/>
        <v>theta vghx/hghx</v>
      </c>
      <c r="E46" t="str">
        <f t="shared" si="23"/>
        <v>°C</v>
      </c>
      <c r="F46" s="16">
        <f t="shared" ref="F46:Q46" ca="1" si="26">INDIRECT("'"&amp;$E$2&amp;"\["&amp;$E$3&amp;"]"&amp;$B24&amp;"'!"&amp;F24)</f>
        <v>10.423506649587846</v>
      </c>
      <c r="G46" s="16">
        <f t="shared" ca="1" si="26"/>
        <v>10.419305321431978</v>
      </c>
      <c r="H46" s="16">
        <f t="shared" ca="1" si="26"/>
        <v>10.418957256132646</v>
      </c>
      <c r="I46" s="16">
        <f t="shared" ca="1" si="26"/>
        <v>10.422555842370901</v>
      </c>
      <c r="J46" s="16">
        <f t="shared" ca="1" si="26"/>
        <v>10.429135550911052</v>
      </c>
      <c r="K46" s="16">
        <f t="shared" ca="1" si="26"/>
        <v>10.436930993754256</v>
      </c>
      <c r="L46" s="16">
        <f t="shared" ca="1" si="26"/>
        <v>10.443850591743608</v>
      </c>
      <c r="M46" s="16">
        <f t="shared" ca="1" si="26"/>
        <v>10.448037761844663</v>
      </c>
      <c r="N46" s="16">
        <f t="shared" ca="1" si="26"/>
        <v>10.448369053102049</v>
      </c>
      <c r="O46" s="16">
        <f t="shared" ca="1" si="26"/>
        <v>10.444755577443235</v>
      </c>
      <c r="P46" s="16">
        <f t="shared" ca="1" si="26"/>
        <v>10.43816685905357</v>
      </c>
      <c r="Q46" s="16">
        <f t="shared" ca="1" si="26"/>
        <v>10.430370703345996</v>
      </c>
    </row>
    <row r="47" spans="1:21" hidden="1" x14ac:dyDescent="0.25">
      <c r="D47" t="str">
        <f t="shared" si="23"/>
        <v>HP source</v>
      </c>
      <c r="E47" t="str">
        <f t="shared" si="23"/>
        <v/>
      </c>
      <c r="F47" s="13">
        <f t="shared" ref="F47:F59" ca="1" si="27">INDIRECT("'"&amp;$E$2&amp;"\["&amp;$E$3&amp;"]"&amp;$B25&amp;"'!"&amp;F25)</f>
        <v>1</v>
      </c>
      <c r="R47" s="9"/>
    </row>
    <row r="48" spans="1:21" hidden="1" x14ac:dyDescent="0.25">
      <c r="D48" t="str">
        <f t="shared" si="23"/>
        <v>theta snk_H</v>
      </c>
      <c r="E48" t="str">
        <f t="shared" si="23"/>
        <v>°C</v>
      </c>
      <c r="F48" s="16">
        <f t="shared" ca="1" si="27"/>
        <v>55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9"/>
    </row>
    <row r="49" spans="1:18" hidden="1" x14ac:dyDescent="0.25">
      <c r="D49" t="str">
        <f t="shared" si="23"/>
        <v>control</v>
      </c>
      <c r="E49" t="str">
        <f t="shared" si="23"/>
        <v/>
      </c>
      <c r="F49" s="13">
        <f t="shared" ca="1" si="27"/>
        <v>1</v>
      </c>
      <c r="R49" s="9"/>
    </row>
    <row r="50" spans="1:18" hidden="1" x14ac:dyDescent="0.25">
      <c r="D50" t="str">
        <f t="shared" si="23"/>
        <v>theta i_set</v>
      </c>
      <c r="E50" t="str">
        <f t="shared" si="23"/>
        <v/>
      </c>
      <c r="F50" s="16">
        <f t="shared" ca="1" si="27"/>
        <v>20</v>
      </c>
      <c r="R50" s="9"/>
    </row>
    <row r="51" spans="1:18" hidden="1" x14ac:dyDescent="0.25">
      <c r="D51" t="str">
        <f t="shared" si="23"/>
        <v>theta snk_DHW</v>
      </c>
      <c r="E51" t="str">
        <f t="shared" si="23"/>
        <v>°C</v>
      </c>
      <c r="F51" s="16">
        <f t="shared" ca="1" si="27"/>
        <v>60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9"/>
    </row>
    <row r="52" spans="1:18" hidden="1" x14ac:dyDescent="0.25">
      <c r="D52" t="str">
        <f t="shared" si="23"/>
        <v>HD</v>
      </c>
      <c r="E52" t="str">
        <f t="shared" si="23"/>
        <v>kWh</v>
      </c>
      <c r="F52" s="13">
        <f t="shared" ca="1" si="27"/>
        <v>631.80903915725378</v>
      </c>
      <c r="G52" s="13">
        <f t="shared" ref="G52:Q52" ca="1" si="28">INDIRECT("'"&amp;$E$2&amp;"\["&amp;$E$3&amp;"]"&amp;$B30&amp;"'!"&amp;G30)</f>
        <v>271.14163890698251</v>
      </c>
      <c r="H52" s="13">
        <f t="shared" ca="1" si="28"/>
        <v>97.060299340694755</v>
      </c>
      <c r="I52" s="13">
        <f t="shared" ca="1" si="28"/>
        <v>2.3398149941849838E-2</v>
      </c>
      <c r="J52" s="13">
        <f t="shared" ca="1" si="28"/>
        <v>5.0882791685692348E-7</v>
      </c>
      <c r="K52" s="13">
        <f t="shared" ca="1" si="28"/>
        <v>7.4212966696654411E-12</v>
      </c>
      <c r="L52" s="13">
        <f t="shared" ca="1" si="28"/>
        <v>8.0541204166911768E-13</v>
      </c>
      <c r="M52" s="13">
        <f t="shared" ca="1" si="28"/>
        <v>5.7529431547794129E-14</v>
      </c>
      <c r="N52" s="13">
        <f t="shared" ca="1" si="28"/>
        <v>7.7889385019716198E-8</v>
      </c>
      <c r="O52" s="13">
        <f t="shared" ca="1" si="28"/>
        <v>0.87542048746545287</v>
      </c>
      <c r="P52" s="13">
        <f t="shared" ca="1" si="28"/>
        <v>347.11281152920157</v>
      </c>
      <c r="Q52" s="13">
        <f t="shared" ca="1" si="28"/>
        <v>628.4025523407505</v>
      </c>
      <c r="R52" s="9"/>
    </row>
    <row r="53" spans="1:18" hidden="1" x14ac:dyDescent="0.25">
      <c r="D53" t="str">
        <f t="shared" si="23"/>
        <v>DHW + losses</v>
      </c>
      <c r="E53" t="str">
        <f t="shared" si="23"/>
        <v>kWh</v>
      </c>
      <c r="F53" s="13">
        <f t="shared" ca="1" si="27"/>
        <v>319.20202796418658</v>
      </c>
      <c r="G53" s="13">
        <f t="shared" ref="G53:Q53" ca="1" si="29">INDIRECT("'"&amp;$E$2&amp;"\["&amp;$E$3&amp;"]"&amp;$B31&amp;"'!"&amp;G31)</f>
        <v>288.3115091289427</v>
      </c>
      <c r="H53" s="13">
        <f t="shared" ca="1" si="29"/>
        <v>319.20202796418658</v>
      </c>
      <c r="I53" s="13">
        <f t="shared" ca="1" si="29"/>
        <v>308.90518835243864</v>
      </c>
      <c r="J53" s="13">
        <f t="shared" ca="1" si="29"/>
        <v>319.20202796418658</v>
      </c>
      <c r="K53" s="13">
        <f t="shared" ca="1" si="29"/>
        <v>308.90518835243864</v>
      </c>
      <c r="L53" s="13">
        <f t="shared" ca="1" si="29"/>
        <v>319.20202796418658</v>
      </c>
      <c r="M53" s="13">
        <f t="shared" ca="1" si="29"/>
        <v>319.20202796418658</v>
      </c>
      <c r="N53" s="13">
        <f t="shared" ca="1" si="29"/>
        <v>308.90518835243864</v>
      </c>
      <c r="O53" s="13">
        <f t="shared" ca="1" si="29"/>
        <v>319.20202796418658</v>
      </c>
      <c r="P53" s="13">
        <f t="shared" ca="1" si="29"/>
        <v>308.90518835243864</v>
      </c>
      <c r="Q53" s="13">
        <f t="shared" ca="1" si="29"/>
        <v>319.20202796418658</v>
      </c>
      <c r="R53" s="9"/>
    </row>
    <row r="54" spans="1:18" hidden="1" x14ac:dyDescent="0.25">
      <c r="D54" t="str">
        <f t="shared" si="23"/>
        <v>HD covered by ST</v>
      </c>
      <c r="E54" t="str">
        <f t="shared" si="23"/>
        <v>kWh</v>
      </c>
      <c r="F54" s="13">
        <f t="shared" ca="1" si="27"/>
        <v>0</v>
      </c>
      <c r="G54" s="13">
        <f t="shared" ref="G54:Q54" ca="1" si="30">INDIRECT("'"&amp;$E$2&amp;"\["&amp;$E$3&amp;"]"&amp;$B32&amp;"'!"&amp;G32)</f>
        <v>83.945194963931741</v>
      </c>
      <c r="H54" s="13">
        <f t="shared" ca="1" si="30"/>
        <v>81.521631829424109</v>
      </c>
      <c r="I54" s="13">
        <f t="shared" ca="1" si="30"/>
        <v>2.3398149941849838E-2</v>
      </c>
      <c r="J54" s="13">
        <f t="shared" ca="1" si="30"/>
        <v>5.0882791685692348E-7</v>
      </c>
      <c r="K54" s="13">
        <f t="shared" ca="1" si="30"/>
        <v>7.4212966696654411E-12</v>
      </c>
      <c r="L54" s="13">
        <f t="shared" ca="1" si="30"/>
        <v>8.0541204166911768E-13</v>
      </c>
      <c r="M54" s="13">
        <f t="shared" ca="1" si="30"/>
        <v>5.7529431547794129E-14</v>
      </c>
      <c r="N54" s="13">
        <f t="shared" ca="1" si="30"/>
        <v>7.7889385019716198E-8</v>
      </c>
      <c r="O54" s="13">
        <f t="shared" ca="1" si="30"/>
        <v>0.87542048746545287</v>
      </c>
      <c r="P54" s="13">
        <f t="shared" ca="1" si="30"/>
        <v>15.362020649731983</v>
      </c>
      <c r="Q54" s="13">
        <f t="shared" ca="1" si="30"/>
        <v>0</v>
      </c>
      <c r="R54" s="9"/>
    </row>
    <row r="55" spans="1:18" hidden="1" x14ac:dyDescent="0.25">
      <c r="D55" t="str">
        <f t="shared" si="23"/>
        <v>DHW covered by ST</v>
      </c>
      <c r="E55" t="str">
        <f t="shared" si="23"/>
        <v>kWh</v>
      </c>
      <c r="F55" s="13">
        <f t="shared" ca="1" si="27"/>
        <v>0</v>
      </c>
      <c r="G55" s="13">
        <f t="shared" ref="G55:Q55" ca="1" si="31">INDIRECT("'"&amp;$E$2&amp;"\["&amp;$E$3&amp;"]"&amp;$B33&amp;"'!"&amp;G33)</f>
        <v>7.9086065564247434</v>
      </c>
      <c r="H55" s="13">
        <f t="shared" ca="1" si="31"/>
        <v>60.719279330677182</v>
      </c>
      <c r="I55" s="13">
        <f t="shared" ca="1" si="31"/>
        <v>212.78969777513137</v>
      </c>
      <c r="J55" s="13">
        <f t="shared" ca="1" si="31"/>
        <v>248.72925485821969</v>
      </c>
      <c r="K55" s="13">
        <f t="shared" ca="1" si="31"/>
        <v>236.52956217471012</v>
      </c>
      <c r="L55" s="13">
        <f t="shared" ca="1" si="31"/>
        <v>249.14959859769871</v>
      </c>
      <c r="M55" s="13">
        <f t="shared" ca="1" si="31"/>
        <v>247.90440279361383</v>
      </c>
      <c r="N55" s="13">
        <f t="shared" ca="1" si="31"/>
        <v>197.84962046050603</v>
      </c>
      <c r="O55" s="13">
        <f t="shared" ca="1" si="31"/>
        <v>115.62853497171349</v>
      </c>
      <c r="P55" s="13">
        <f t="shared" ca="1" si="31"/>
        <v>0</v>
      </c>
      <c r="Q55" s="13">
        <f t="shared" ca="1" si="31"/>
        <v>0</v>
      </c>
      <c r="R55" s="9"/>
    </row>
    <row r="56" spans="1:18" hidden="1" x14ac:dyDescent="0.25">
      <c r="D56" t="str">
        <f t="shared" si="23"/>
        <v>PV</v>
      </c>
      <c r="E56" t="str">
        <f t="shared" si="23"/>
        <v>kWh</v>
      </c>
      <c r="F56" s="13">
        <f t="shared" ca="1" si="27"/>
        <v>271.36207218675281</v>
      </c>
      <c r="G56" s="13">
        <f t="shared" ref="G56:Q56" ca="1" si="32">INDIRECT("'"&amp;$E$2&amp;"\["&amp;$E$3&amp;"]"&amp;$B34&amp;"'!"&amp;G34)</f>
        <v>536.79034784475687</v>
      </c>
      <c r="H56" s="13">
        <f t="shared" ca="1" si="32"/>
        <v>742.22290492900254</v>
      </c>
      <c r="I56" s="13">
        <f t="shared" ca="1" si="32"/>
        <v>1095.8865654275576</v>
      </c>
      <c r="J56" s="13">
        <f t="shared" ca="1" si="32"/>
        <v>1277.0844071450449</v>
      </c>
      <c r="K56" s="13">
        <f t="shared" ca="1" si="32"/>
        <v>1188.2391316397941</v>
      </c>
      <c r="L56" s="13">
        <f t="shared" ca="1" si="32"/>
        <v>1233.7926590112797</v>
      </c>
      <c r="M56" s="13">
        <f t="shared" ca="1" si="32"/>
        <v>1205.9651549357322</v>
      </c>
      <c r="N56" s="13">
        <f t="shared" ca="1" si="32"/>
        <v>955.93359895557899</v>
      </c>
      <c r="O56" s="13">
        <f t="shared" ca="1" si="32"/>
        <v>630.94755589609895</v>
      </c>
      <c r="P56" s="13">
        <f t="shared" ca="1" si="32"/>
        <v>301.11105097880625</v>
      </c>
      <c r="Q56" s="13">
        <f t="shared" ca="1" si="32"/>
        <v>195.59028888759164</v>
      </c>
      <c r="R56" s="9"/>
    </row>
    <row r="57" spans="1:18" hidden="1" x14ac:dyDescent="0.25">
      <c r="D57" t="str">
        <f t="shared" si="23"/>
        <v>Electiricty appliances</v>
      </c>
      <c r="E57" t="str">
        <f t="shared" si="23"/>
        <v>kWh</v>
      </c>
      <c r="F57" s="13">
        <f t="shared" ca="1" si="27"/>
        <v>1727.1690315204135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9"/>
    </row>
    <row r="58" spans="1:18" hidden="1" x14ac:dyDescent="0.25">
      <c r="D58" t="str">
        <f t="shared" si="23"/>
        <v>Aux. electricty</v>
      </c>
      <c r="E58" t="str">
        <f t="shared" si="23"/>
        <v>kWh</v>
      </c>
      <c r="F58" s="13">
        <f t="shared" ca="1" si="27"/>
        <v>481.73254248552786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9"/>
    </row>
    <row r="59" spans="1:18" hidden="1" x14ac:dyDescent="0.25">
      <c r="D59" t="str">
        <f t="shared" si="23"/>
        <v>Treated floor area</v>
      </c>
      <c r="E59" t="str">
        <f t="shared" si="23"/>
        <v>m2</v>
      </c>
      <c r="F59" s="13">
        <f t="shared" ca="1" si="27"/>
        <v>156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9"/>
    </row>
    <row r="60" spans="1:18" hidden="1" x14ac:dyDescent="0.25">
      <c r="A60" t="s">
        <v>168</v>
      </c>
      <c r="F60" s="40">
        <f ca="1">IF(ISNUMBER(F59),1,0)</f>
        <v>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9"/>
    </row>
    <row r="61" spans="1:18" hidden="1" x14ac:dyDescent="0.25"/>
    <row r="62" spans="1:18" ht="21" hidden="1" x14ac:dyDescent="0.35">
      <c r="A62" s="17" t="s">
        <v>163</v>
      </c>
    </row>
    <row r="63" spans="1:18" hidden="1" x14ac:dyDescent="0.25">
      <c r="A63" s="66" t="s">
        <v>96</v>
      </c>
      <c r="D63" t="s">
        <v>92</v>
      </c>
      <c r="E63" t="s">
        <v>5</v>
      </c>
      <c r="F63">
        <v>0</v>
      </c>
      <c r="G63" t="s">
        <v>93</v>
      </c>
      <c r="H63" t="s">
        <v>8</v>
      </c>
      <c r="I63">
        <f ca="1">F50</f>
        <v>20</v>
      </c>
      <c r="J63" t="s">
        <v>6</v>
      </c>
      <c r="K63">
        <f ca="1">INDEX(LINEST($I$63:$I$64,$F$63:$F$64),1)</f>
        <v>5.5396485062456813E-2</v>
      </c>
    </row>
    <row r="64" spans="1:18" hidden="1" x14ac:dyDescent="0.25">
      <c r="A64" s="66"/>
      <c r="D64" t="s">
        <v>91</v>
      </c>
      <c r="E64" t="s">
        <v>5</v>
      </c>
      <c r="F64" s="19">
        <f ca="1">MAX(F52:Q52)</f>
        <v>631.80903915725378</v>
      </c>
      <c r="G64" t="s">
        <v>94</v>
      </c>
      <c r="H64" t="s">
        <v>8</v>
      </c>
      <c r="I64" s="12">
        <f ca="1">F48</f>
        <v>55</v>
      </c>
      <c r="J64" t="s">
        <v>95</v>
      </c>
      <c r="K64">
        <f ca="1">INDEX(LINEST($I$63:$I$64,$F$63:$F$64),2)</f>
        <v>20</v>
      </c>
    </row>
    <row r="65" spans="1:19" hidden="1" x14ac:dyDescent="0.25">
      <c r="D65" t="s">
        <v>7</v>
      </c>
      <c r="E65" t="s">
        <v>8</v>
      </c>
      <c r="F65" s="23">
        <f t="shared" ref="F65:Q65" ca="1" si="33">INDEX(F$44:F$46,MIN(3,$F$47))</f>
        <v>0.4</v>
      </c>
      <c r="G65" s="23">
        <f t="shared" ca="1" si="33"/>
        <v>1.3</v>
      </c>
      <c r="H65" s="23">
        <f t="shared" ca="1" si="33"/>
        <v>4.4000000000000004</v>
      </c>
      <c r="I65" s="23">
        <f t="shared" ca="1" si="33"/>
        <v>8.4</v>
      </c>
      <c r="J65" s="23">
        <f t="shared" ca="1" si="33"/>
        <v>12.9</v>
      </c>
      <c r="K65" s="23">
        <f t="shared" ca="1" si="33"/>
        <v>16.3</v>
      </c>
      <c r="L65" s="23">
        <f t="shared" ca="1" si="33"/>
        <v>17.600000000000001</v>
      </c>
      <c r="M65" s="23">
        <f t="shared" ca="1" si="33"/>
        <v>17</v>
      </c>
      <c r="N65" s="23">
        <f t="shared" ca="1" si="33"/>
        <v>13.9</v>
      </c>
      <c r="O65" s="23">
        <f t="shared" ca="1" si="33"/>
        <v>9.4</v>
      </c>
      <c r="P65" s="23">
        <f t="shared" ca="1" si="33"/>
        <v>4.7</v>
      </c>
      <c r="Q65" s="23">
        <f t="shared" ca="1" si="33"/>
        <v>1.6</v>
      </c>
    </row>
    <row r="66" spans="1:19" hidden="1" x14ac:dyDescent="0.25">
      <c r="D66" t="s">
        <v>9</v>
      </c>
      <c r="E66" t="s">
        <v>8</v>
      </c>
      <c r="F66" s="23">
        <f t="shared" ref="F66:Q66" ca="1" si="34">IF($F49=1,$F48, $K$63 * F$52 + $K$64)</f>
        <v>55</v>
      </c>
      <c r="G66" s="23">
        <f t="shared" ca="1" si="34"/>
        <v>55</v>
      </c>
      <c r="H66" s="23">
        <f t="shared" ca="1" si="34"/>
        <v>55</v>
      </c>
      <c r="I66" s="23">
        <f t="shared" ca="1" si="34"/>
        <v>55</v>
      </c>
      <c r="J66" s="23">
        <f t="shared" ca="1" si="34"/>
        <v>55</v>
      </c>
      <c r="K66" s="23">
        <f t="shared" ca="1" si="34"/>
        <v>55</v>
      </c>
      <c r="L66" s="23">
        <f t="shared" ca="1" si="34"/>
        <v>55</v>
      </c>
      <c r="M66" s="23">
        <f t="shared" ca="1" si="34"/>
        <v>55</v>
      </c>
      <c r="N66" s="23">
        <f t="shared" ca="1" si="34"/>
        <v>55</v>
      </c>
      <c r="O66" s="23">
        <f t="shared" ca="1" si="34"/>
        <v>55</v>
      </c>
      <c r="P66" s="23">
        <f t="shared" ca="1" si="34"/>
        <v>55</v>
      </c>
      <c r="Q66" s="23">
        <f t="shared" ca="1" si="34"/>
        <v>55</v>
      </c>
    </row>
    <row r="67" spans="1:19" hidden="1" x14ac:dyDescent="0.25">
      <c r="D67" t="s">
        <v>10</v>
      </c>
      <c r="E67" t="s">
        <v>8</v>
      </c>
      <c r="F67" s="23">
        <f t="shared" ref="F67:Q67" ca="1" si="35">$F51</f>
        <v>60</v>
      </c>
      <c r="G67" s="23">
        <f t="shared" ca="1" si="35"/>
        <v>60</v>
      </c>
      <c r="H67" s="23">
        <f t="shared" ca="1" si="35"/>
        <v>60</v>
      </c>
      <c r="I67" s="23">
        <f t="shared" ca="1" si="35"/>
        <v>60</v>
      </c>
      <c r="J67" s="23">
        <f t="shared" ca="1" si="35"/>
        <v>60</v>
      </c>
      <c r="K67" s="23">
        <f t="shared" ca="1" si="35"/>
        <v>60</v>
      </c>
      <c r="L67" s="23">
        <f t="shared" ca="1" si="35"/>
        <v>60</v>
      </c>
      <c r="M67" s="23">
        <f t="shared" ca="1" si="35"/>
        <v>60</v>
      </c>
      <c r="N67" s="23">
        <f t="shared" ca="1" si="35"/>
        <v>60</v>
      </c>
      <c r="O67" s="23">
        <f t="shared" ca="1" si="35"/>
        <v>60</v>
      </c>
      <c r="P67" s="23">
        <f t="shared" ca="1" si="35"/>
        <v>60</v>
      </c>
      <c r="Q67" s="23">
        <f t="shared" ca="1" si="35"/>
        <v>60</v>
      </c>
    </row>
    <row r="68" spans="1:19" hidden="1" x14ac:dyDescent="0.25"/>
    <row r="69" spans="1:19" ht="21.75" hidden="1" thickBot="1" x14ac:dyDescent="0.4">
      <c r="A69" s="17" t="s">
        <v>90</v>
      </c>
      <c r="F69" s="31">
        <v>1</v>
      </c>
      <c r="G69" s="31">
        <v>2</v>
      </c>
      <c r="H69" s="31">
        <v>3</v>
      </c>
      <c r="I69" s="31">
        <v>4</v>
      </c>
      <c r="J69" s="31">
        <v>5</v>
      </c>
      <c r="K69" s="31">
        <v>6</v>
      </c>
      <c r="L69" s="31">
        <v>7</v>
      </c>
      <c r="M69" s="31">
        <v>8</v>
      </c>
      <c r="N69" s="31">
        <v>9</v>
      </c>
      <c r="O69" s="31">
        <v>10</v>
      </c>
      <c r="P69" s="31">
        <v>11</v>
      </c>
      <c r="Q69" s="32">
        <v>12</v>
      </c>
    </row>
    <row r="70" spans="1:19" hidden="1" x14ac:dyDescent="0.25">
      <c r="A70" t="s">
        <v>167</v>
      </c>
      <c r="B70" s="33"/>
      <c r="D70" t="s">
        <v>7</v>
      </c>
      <c r="E70" t="s">
        <v>8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12"/>
    </row>
    <row r="71" spans="1:19" hidden="1" x14ac:dyDescent="0.25">
      <c r="A71" t="s">
        <v>167</v>
      </c>
      <c r="B71" s="33"/>
      <c r="D71" t="s">
        <v>9</v>
      </c>
      <c r="E71" t="s">
        <v>8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2"/>
    </row>
    <row r="72" spans="1:19" hidden="1" x14ac:dyDescent="0.25">
      <c r="A72" t="s">
        <v>167</v>
      </c>
      <c r="B72" s="33"/>
      <c r="D72" t="s">
        <v>10</v>
      </c>
      <c r="E72" t="s">
        <v>8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12"/>
    </row>
    <row r="73" spans="1:19" hidden="1" x14ac:dyDescent="0.25"/>
    <row r="74" spans="1:19" ht="21" hidden="1" x14ac:dyDescent="0.35">
      <c r="A74" s="17" t="s">
        <v>162</v>
      </c>
    </row>
    <row r="75" spans="1:19" hidden="1" x14ac:dyDescent="0.25">
      <c r="D75" t="s">
        <v>225</v>
      </c>
      <c r="E75" t="s">
        <v>221</v>
      </c>
      <c r="F75" s="13">
        <f ca="1">F59</f>
        <v>156</v>
      </c>
    </row>
    <row r="76" spans="1:19" hidden="1" x14ac:dyDescent="0.25">
      <c r="F76" t="s">
        <v>0</v>
      </c>
      <c r="G76" t="s">
        <v>1</v>
      </c>
      <c r="H76" t="s">
        <v>2</v>
      </c>
      <c r="J76" t="s">
        <v>4</v>
      </c>
      <c r="K76" t="s">
        <v>0</v>
      </c>
      <c r="L76" t="s">
        <v>1</v>
      </c>
      <c r="M76" t="s">
        <v>3</v>
      </c>
    </row>
    <row r="77" spans="1:19" hidden="1" x14ac:dyDescent="0.25">
      <c r="F77" t="s">
        <v>5</v>
      </c>
      <c r="G77" t="s">
        <v>5</v>
      </c>
      <c r="H77" t="s">
        <v>5</v>
      </c>
      <c r="K77" t="s">
        <v>5</v>
      </c>
      <c r="L77" t="s">
        <v>5</v>
      </c>
      <c r="M77" t="s">
        <v>5</v>
      </c>
    </row>
    <row r="78" spans="1:19" hidden="1" x14ac:dyDescent="0.25">
      <c r="F78" s="13">
        <f ca="1">F42</f>
        <v>1000.7707071062819</v>
      </c>
      <c r="G78" s="13">
        <f ca="1">G42</f>
        <v>651.23315950798133</v>
      </c>
      <c r="H78" s="13">
        <f ca="1">H42</f>
        <v>1652.0038666142632</v>
      </c>
      <c r="I78" s="14"/>
      <c r="J78" s="15">
        <f ca="1">J42</f>
        <v>1.6284242225670851</v>
      </c>
      <c r="K78" s="13">
        <f ca="1">K42</f>
        <v>1000.7707071062819</v>
      </c>
      <c r="L78" s="13">
        <f ca="1">L42</f>
        <v>651.23315950798133</v>
      </c>
      <c r="M78" s="13">
        <f ca="1">M42</f>
        <v>1652.0038666142632</v>
      </c>
    </row>
    <row r="79" spans="1:19" ht="15.75" hidden="1" thickBot="1" x14ac:dyDescent="0.3">
      <c r="C79" s="3"/>
      <c r="F79" s="4">
        <v>1</v>
      </c>
      <c r="G79" s="4">
        <f t="shared" ref="G79:Q79" si="36">F79+1</f>
        <v>2</v>
      </c>
      <c r="H79" s="4">
        <f t="shared" si="36"/>
        <v>3</v>
      </c>
      <c r="I79" s="4">
        <f t="shared" si="36"/>
        <v>4</v>
      </c>
      <c r="J79" s="4">
        <f t="shared" si="36"/>
        <v>5</v>
      </c>
      <c r="K79" s="4">
        <f t="shared" si="36"/>
        <v>6</v>
      </c>
      <c r="L79" s="4">
        <f t="shared" si="36"/>
        <v>7</v>
      </c>
      <c r="M79" s="4">
        <f t="shared" si="36"/>
        <v>8</v>
      </c>
      <c r="N79" s="4">
        <f t="shared" si="36"/>
        <v>9</v>
      </c>
      <c r="O79" s="4">
        <f t="shared" si="36"/>
        <v>10</v>
      </c>
      <c r="P79" s="4">
        <f t="shared" si="36"/>
        <v>11</v>
      </c>
      <c r="Q79" s="5">
        <f t="shared" si="36"/>
        <v>12</v>
      </c>
      <c r="R79" s="5" t="s">
        <v>6</v>
      </c>
    </row>
    <row r="80" spans="1:19" hidden="1" x14ac:dyDescent="0.25">
      <c r="D80" t="s">
        <v>7</v>
      </c>
      <c r="E80" t="s">
        <v>8</v>
      </c>
      <c r="F80" s="20">
        <f t="shared" ref="F80:Q80" ca="1" si="37">IF( ISBLANK($B70),F65,F70)</f>
        <v>0.4</v>
      </c>
      <c r="G80" s="20">
        <f t="shared" ca="1" si="37"/>
        <v>1.3</v>
      </c>
      <c r="H80" s="20">
        <f t="shared" ca="1" si="37"/>
        <v>4.4000000000000004</v>
      </c>
      <c r="I80" s="20">
        <f t="shared" ca="1" si="37"/>
        <v>8.4</v>
      </c>
      <c r="J80" s="20">
        <f t="shared" ca="1" si="37"/>
        <v>12.9</v>
      </c>
      <c r="K80" s="20">
        <f t="shared" ca="1" si="37"/>
        <v>16.3</v>
      </c>
      <c r="L80" s="20">
        <f t="shared" ca="1" si="37"/>
        <v>17.600000000000001</v>
      </c>
      <c r="M80" s="20">
        <f t="shared" ca="1" si="37"/>
        <v>17</v>
      </c>
      <c r="N80" s="20">
        <f t="shared" ca="1" si="37"/>
        <v>13.9</v>
      </c>
      <c r="O80" s="20">
        <f t="shared" ca="1" si="37"/>
        <v>9.4</v>
      </c>
      <c r="P80" s="20">
        <f t="shared" ca="1" si="37"/>
        <v>4.7</v>
      </c>
      <c r="Q80" s="20">
        <f t="shared" ca="1" si="37"/>
        <v>1.6</v>
      </c>
      <c r="S80" s="6"/>
    </row>
    <row r="81" spans="1:22" hidden="1" x14ac:dyDescent="0.25">
      <c r="D81" t="s">
        <v>9</v>
      </c>
      <c r="E81" t="s">
        <v>8</v>
      </c>
      <c r="F81" s="20">
        <f t="shared" ref="F81:Q81" ca="1" si="38">IF( ISBLANK($B71),F66,F71)</f>
        <v>55</v>
      </c>
      <c r="G81" s="20">
        <f t="shared" ca="1" si="38"/>
        <v>55</v>
      </c>
      <c r="H81" s="20">
        <f t="shared" ca="1" si="38"/>
        <v>55</v>
      </c>
      <c r="I81" s="20">
        <f t="shared" ca="1" si="38"/>
        <v>55</v>
      </c>
      <c r="J81" s="20">
        <f t="shared" ca="1" si="38"/>
        <v>55</v>
      </c>
      <c r="K81" s="20">
        <f t="shared" ca="1" si="38"/>
        <v>55</v>
      </c>
      <c r="L81" s="20">
        <f t="shared" ca="1" si="38"/>
        <v>55</v>
      </c>
      <c r="M81" s="20">
        <f t="shared" ca="1" si="38"/>
        <v>55</v>
      </c>
      <c r="N81" s="20">
        <f t="shared" ca="1" si="38"/>
        <v>55</v>
      </c>
      <c r="O81" s="20">
        <f t="shared" ca="1" si="38"/>
        <v>55</v>
      </c>
      <c r="P81" s="20">
        <f t="shared" ca="1" si="38"/>
        <v>55</v>
      </c>
      <c r="Q81" s="20">
        <f t="shared" ca="1" si="38"/>
        <v>55</v>
      </c>
      <c r="S81" s="6"/>
    </row>
    <row r="82" spans="1:22" hidden="1" x14ac:dyDescent="0.25">
      <c r="D82" t="s">
        <v>10</v>
      </c>
      <c r="E82" t="s">
        <v>8</v>
      </c>
      <c r="F82" s="20">
        <f t="shared" ref="F82:Q82" ca="1" si="39">IF( ISBLANK($B72),F67,F72)</f>
        <v>60</v>
      </c>
      <c r="G82" s="20">
        <f t="shared" ca="1" si="39"/>
        <v>60</v>
      </c>
      <c r="H82" s="20">
        <f t="shared" ca="1" si="39"/>
        <v>60</v>
      </c>
      <c r="I82" s="20">
        <f t="shared" ca="1" si="39"/>
        <v>60</v>
      </c>
      <c r="J82" s="20">
        <f t="shared" ca="1" si="39"/>
        <v>60</v>
      </c>
      <c r="K82" s="20">
        <f t="shared" ca="1" si="39"/>
        <v>60</v>
      </c>
      <c r="L82" s="20">
        <f t="shared" ca="1" si="39"/>
        <v>60</v>
      </c>
      <c r="M82" s="20">
        <f t="shared" ca="1" si="39"/>
        <v>60</v>
      </c>
      <c r="N82" s="20">
        <f t="shared" ca="1" si="39"/>
        <v>60</v>
      </c>
      <c r="O82" s="20">
        <f t="shared" ca="1" si="39"/>
        <v>60</v>
      </c>
      <c r="P82" s="20">
        <f t="shared" ca="1" si="39"/>
        <v>60</v>
      </c>
      <c r="Q82" s="20">
        <f t="shared" ca="1" si="39"/>
        <v>60</v>
      </c>
      <c r="S82" s="6"/>
    </row>
    <row r="83" spans="1:22" hidden="1" x14ac:dyDescent="0.25">
      <c r="D83" t="s">
        <v>79</v>
      </c>
      <c r="E83" t="s">
        <v>5</v>
      </c>
      <c r="F83" s="21">
        <f t="shared" ref="F83:Q83" ca="1" si="40">F52-F54</f>
        <v>631.80903915725378</v>
      </c>
      <c r="G83" s="21">
        <f t="shared" ca="1" si="40"/>
        <v>187.19644394305078</v>
      </c>
      <c r="H83" s="21">
        <f t="shared" ca="1" si="40"/>
        <v>15.538667511270646</v>
      </c>
      <c r="I83" s="21">
        <f t="shared" ca="1" si="40"/>
        <v>0</v>
      </c>
      <c r="J83" s="21">
        <f t="shared" ca="1" si="40"/>
        <v>0</v>
      </c>
      <c r="K83" s="21">
        <f t="shared" ca="1" si="40"/>
        <v>0</v>
      </c>
      <c r="L83" s="21">
        <f t="shared" ca="1" si="40"/>
        <v>0</v>
      </c>
      <c r="M83" s="21">
        <f t="shared" ca="1" si="40"/>
        <v>0</v>
      </c>
      <c r="N83" s="21">
        <f t="shared" ca="1" si="40"/>
        <v>0</v>
      </c>
      <c r="O83" s="21">
        <f t="shared" ca="1" si="40"/>
        <v>0</v>
      </c>
      <c r="P83" s="21">
        <f t="shared" ca="1" si="40"/>
        <v>331.7507908794696</v>
      </c>
      <c r="Q83" s="21">
        <f t="shared" ca="1" si="40"/>
        <v>628.4025523407505</v>
      </c>
      <c r="R83" s="22">
        <f ca="1">SUM(F83:Q83)</f>
        <v>1794.6974938317953</v>
      </c>
      <c r="S83" s="6"/>
    </row>
    <row r="84" spans="1:22" hidden="1" x14ac:dyDescent="0.25">
      <c r="D84" t="s">
        <v>77</v>
      </c>
      <c r="E84" t="s">
        <v>5</v>
      </c>
      <c r="F84" s="21">
        <f t="shared" ref="F84:Q84" ca="1" si="41">F53-F55</f>
        <v>319.20202796418658</v>
      </c>
      <c r="G84" s="21">
        <f t="shared" ca="1" si="41"/>
        <v>280.40290257251797</v>
      </c>
      <c r="H84" s="21">
        <f t="shared" ca="1" si="41"/>
        <v>258.4827486335094</v>
      </c>
      <c r="I84" s="21">
        <f t="shared" ca="1" si="41"/>
        <v>96.11549057730727</v>
      </c>
      <c r="J84" s="21">
        <f t="shared" ca="1" si="41"/>
        <v>70.472773105966894</v>
      </c>
      <c r="K84" s="21">
        <f t="shared" ca="1" si="41"/>
        <v>72.37562617772852</v>
      </c>
      <c r="L84" s="21">
        <f t="shared" ca="1" si="41"/>
        <v>70.052429366487871</v>
      </c>
      <c r="M84" s="21">
        <f t="shared" ca="1" si="41"/>
        <v>71.297625170572758</v>
      </c>
      <c r="N84" s="21">
        <f t="shared" ca="1" si="41"/>
        <v>111.05556789193261</v>
      </c>
      <c r="O84" s="21">
        <f t="shared" ca="1" si="41"/>
        <v>203.57349299247309</v>
      </c>
      <c r="P84" s="21">
        <f t="shared" ca="1" si="41"/>
        <v>308.90518835243864</v>
      </c>
      <c r="Q84" s="21">
        <f t="shared" ca="1" si="41"/>
        <v>319.20202796418658</v>
      </c>
      <c r="R84" s="22">
        <f ca="1">SUM(F84:Q84)</f>
        <v>2181.1379007693081</v>
      </c>
      <c r="S84" s="6"/>
    </row>
    <row r="85" spans="1:22" hidden="1" x14ac:dyDescent="0.25">
      <c r="D85" t="s">
        <v>190</v>
      </c>
      <c r="F85" s="21">
        <v>31</v>
      </c>
      <c r="G85" s="21">
        <v>28</v>
      </c>
      <c r="H85" s="21">
        <v>31</v>
      </c>
      <c r="I85" s="21">
        <v>30</v>
      </c>
      <c r="J85" s="21">
        <v>31</v>
      </c>
      <c r="K85" s="21">
        <v>30</v>
      </c>
      <c r="L85" s="21">
        <v>31</v>
      </c>
      <c r="M85" s="21">
        <v>31</v>
      </c>
      <c r="N85" s="21">
        <v>30</v>
      </c>
      <c r="O85" s="21">
        <v>31</v>
      </c>
      <c r="P85" s="21">
        <v>30</v>
      </c>
      <c r="Q85" s="21">
        <v>31</v>
      </c>
      <c r="R85" s="22">
        <f>SUM(F85:Q85)</f>
        <v>365</v>
      </c>
      <c r="S85" s="6"/>
    </row>
    <row r="86" spans="1:22" ht="21" hidden="1" x14ac:dyDescent="0.35">
      <c r="A86" s="17" t="s">
        <v>70</v>
      </c>
    </row>
    <row r="87" spans="1:22" hidden="1" x14ac:dyDescent="0.25">
      <c r="A87" t="s">
        <v>17</v>
      </c>
      <c r="B87" s="10">
        <f ca="1">IF(F78=0,0,SUMPRODUCT(F83:Q83,F87:Q87) / F78)</f>
        <v>0.29104261270672349</v>
      </c>
      <c r="D87" t="s">
        <v>11</v>
      </c>
      <c r="F87" s="25">
        <f t="shared" ref="F87:Q87" ca="1" si="42">1/ ((F81+273.15)/(F81-F80))</f>
        <v>0.16638732287063845</v>
      </c>
      <c r="G87" s="25">
        <f t="shared" ca="1" si="42"/>
        <v>0.16364467469145211</v>
      </c>
      <c r="H87" s="25">
        <f t="shared" ca="1" si="42"/>
        <v>0.154197775407588</v>
      </c>
      <c r="I87" s="25">
        <f t="shared" ca="1" si="42"/>
        <v>0.14200822794453757</v>
      </c>
      <c r="J87" s="25">
        <f t="shared" ca="1" si="42"/>
        <v>0.12829498704860584</v>
      </c>
      <c r="K87" s="25">
        <f t="shared" ca="1" si="42"/>
        <v>0.11793387170501296</v>
      </c>
      <c r="L87" s="25">
        <f t="shared" ca="1" si="42"/>
        <v>0.11397226877952157</v>
      </c>
      <c r="M87" s="25">
        <f t="shared" ca="1" si="42"/>
        <v>0.11580070089897913</v>
      </c>
      <c r="N87" s="25">
        <f t="shared" ca="1" si="42"/>
        <v>0.12524760018284323</v>
      </c>
      <c r="O87" s="25">
        <f t="shared" ca="1" si="42"/>
        <v>0.13896084107877496</v>
      </c>
      <c r="P87" s="25">
        <f t="shared" ca="1" si="42"/>
        <v>0.15328355934785923</v>
      </c>
      <c r="Q87" s="25">
        <f t="shared" ca="1" si="42"/>
        <v>0.16273045863172331</v>
      </c>
      <c r="R87" s="9"/>
      <c r="S87" s="6"/>
    </row>
    <row r="88" spans="1:22" hidden="1" x14ac:dyDescent="0.25">
      <c r="A88" t="s">
        <v>18</v>
      </c>
      <c r="B88" s="10">
        <f ca="1">IF(G78=0,0,SUMPRODUCT(F84:Q84,F88:Q88) / G78)</f>
        <v>0.54608519577705839</v>
      </c>
      <c r="D88" t="s">
        <v>12</v>
      </c>
      <c r="F88" s="25">
        <f t="shared" ref="F88:Q88" ca="1" si="43">1/  ((F82+273.15)/(F82-F80))</f>
        <v>0.17889839411676423</v>
      </c>
      <c r="G88" s="25">
        <f t="shared" ca="1" si="43"/>
        <v>0.1761969082995648</v>
      </c>
      <c r="H88" s="25">
        <f t="shared" ca="1" si="43"/>
        <v>0.16689179048476663</v>
      </c>
      <c r="I88" s="25">
        <f t="shared" ca="1" si="43"/>
        <v>0.15488518685276903</v>
      </c>
      <c r="J88" s="25">
        <f t="shared" ca="1" si="43"/>
        <v>0.14137775776677172</v>
      </c>
      <c r="K88" s="25">
        <f t="shared" ca="1" si="43"/>
        <v>0.13117214467957378</v>
      </c>
      <c r="L88" s="25">
        <f t="shared" ca="1" si="43"/>
        <v>0.12726999849917456</v>
      </c>
      <c r="M88" s="25">
        <f t="shared" ca="1" si="43"/>
        <v>0.12907098904397421</v>
      </c>
      <c r="N88" s="25">
        <f t="shared" ca="1" si="43"/>
        <v>0.13837610685877233</v>
      </c>
      <c r="O88" s="25">
        <f t="shared" ca="1" si="43"/>
        <v>0.15188353594476964</v>
      </c>
      <c r="P88" s="25">
        <f t="shared" ca="1" si="43"/>
        <v>0.1659912952123668</v>
      </c>
      <c r="Q88" s="25">
        <f t="shared" ca="1" si="43"/>
        <v>0.17529641302716495</v>
      </c>
      <c r="R88" s="9"/>
      <c r="S88" s="6"/>
    </row>
    <row r="89" spans="1:22" hidden="1" x14ac:dyDescent="0.25">
      <c r="D89" t="s">
        <v>13</v>
      </c>
      <c r="F89" s="26">
        <f t="shared" ref="F89:Q89" ca="1" si="44">IF($B87=0,"",$B87 *  ((F81+273.15)/(F81-F80)))</f>
        <v>1.7491874241705365</v>
      </c>
      <c r="G89" s="26">
        <f t="shared" ca="1" si="44"/>
        <v>1.7785034145197633</v>
      </c>
      <c r="H89" s="26">
        <f t="shared" ca="1" si="44"/>
        <v>1.8874631098757175</v>
      </c>
      <c r="I89" s="26">
        <f t="shared" ca="1" si="44"/>
        <v>2.0494771107234189</v>
      </c>
      <c r="J89" s="26">
        <f t="shared" ca="1" si="44"/>
        <v>2.2685423600881545</v>
      </c>
      <c r="K89" s="26">
        <f t="shared" ca="1" si="44"/>
        <v>2.467845823248354</v>
      </c>
      <c r="L89" s="26">
        <f t="shared" ca="1" si="44"/>
        <v>2.5536265604200885</v>
      </c>
      <c r="M89" s="26">
        <f t="shared" ca="1" si="44"/>
        <v>2.5133061410450344</v>
      </c>
      <c r="N89" s="26">
        <f t="shared" ca="1" si="44"/>
        <v>2.3237380379491803</v>
      </c>
      <c r="O89" s="26">
        <f t="shared" ca="1" si="44"/>
        <v>2.0944217842041954</v>
      </c>
      <c r="P89" s="26">
        <f t="shared" ca="1" si="44"/>
        <v>1.8987203451234853</v>
      </c>
      <c r="Q89" s="26">
        <f t="shared" ca="1" si="44"/>
        <v>1.7884950067361669</v>
      </c>
      <c r="R89" s="6"/>
      <c r="S89" s="6"/>
    </row>
    <row r="90" spans="1:22" hidden="1" x14ac:dyDescent="0.25">
      <c r="D90" t="s">
        <v>14</v>
      </c>
      <c r="F90" s="26">
        <f t="shared" ref="F90:Q90" ca="1" si="45">IF($B88=0,"",$B88 *  ((F82+273.15)/(F82-F80)))</f>
        <v>3.0524879693477684</v>
      </c>
      <c r="G90" s="26">
        <f t="shared" ca="1" si="45"/>
        <v>3.0992893181111918</v>
      </c>
      <c r="H90" s="26">
        <f t="shared" ca="1" si="45"/>
        <v>3.2720914203799816</v>
      </c>
      <c r="I90" s="26">
        <f t="shared" ca="1" si="45"/>
        <v>3.5257419180838561</v>
      </c>
      <c r="J90" s="26">
        <f t="shared" ca="1" si="45"/>
        <v>3.8625962414676644</v>
      </c>
      <c r="K90" s="26">
        <f t="shared" ca="1" si="45"/>
        <v>4.1631186035040502</v>
      </c>
      <c r="L90" s="26">
        <f t="shared" ca="1" si="45"/>
        <v>4.2907613908756366</v>
      </c>
      <c r="M90" s="26">
        <f t="shared" ca="1" si="45"/>
        <v>4.2308903017006276</v>
      </c>
      <c r="N90" s="26">
        <f t="shared" ca="1" si="45"/>
        <v>3.9463835785927763</v>
      </c>
      <c r="O90" s="26">
        <f t="shared" ca="1" si="45"/>
        <v>3.5954206121171342</v>
      </c>
      <c r="P90" s="26">
        <f t="shared" ca="1" si="45"/>
        <v>3.2898423684109765</v>
      </c>
      <c r="Q90" s="26">
        <f t="shared" ca="1" si="45"/>
        <v>3.1152103248823115</v>
      </c>
      <c r="R90" s="6"/>
      <c r="S90" s="6"/>
      <c r="T90" t="s">
        <v>15</v>
      </c>
      <c r="U90" t="s">
        <v>16</v>
      </c>
    </row>
    <row r="91" spans="1:22" hidden="1" x14ac:dyDescent="0.25">
      <c r="D91" t="s">
        <v>0</v>
      </c>
      <c r="E91" t="s">
        <v>5</v>
      </c>
      <c r="F91" s="36">
        <f t="shared" ref="F91:Q91" ca="1" si="46">IF($B87=0,0,F83/F89)</f>
        <v>361.20145298715329</v>
      </c>
      <c r="G91" s="36">
        <f t="shared" ca="1" si="46"/>
        <v>105.25503769898474</v>
      </c>
      <c r="H91" s="36">
        <f t="shared" ca="1" si="46"/>
        <v>8.2325675293827647</v>
      </c>
      <c r="I91" s="36">
        <f t="shared" ca="1" si="46"/>
        <v>0</v>
      </c>
      <c r="J91" s="36">
        <f t="shared" ca="1" si="46"/>
        <v>0</v>
      </c>
      <c r="K91" s="36">
        <f t="shared" ca="1" si="46"/>
        <v>0</v>
      </c>
      <c r="L91" s="36">
        <f t="shared" ca="1" si="46"/>
        <v>0</v>
      </c>
      <c r="M91" s="36">
        <f t="shared" ca="1" si="46"/>
        <v>0</v>
      </c>
      <c r="N91" s="36">
        <f t="shared" ca="1" si="46"/>
        <v>0</v>
      </c>
      <c r="O91" s="36">
        <f t="shared" ca="1" si="46"/>
        <v>0</v>
      </c>
      <c r="P91" s="36">
        <f t="shared" ca="1" si="46"/>
        <v>174.72335603898205</v>
      </c>
      <c r="Q91" s="36">
        <f t="shared" ca="1" si="46"/>
        <v>351.35829285177897</v>
      </c>
      <c r="R91" s="36">
        <f ca="1">SUM(F91:Q91)</f>
        <v>1000.7707071062819</v>
      </c>
      <c r="S91" s="11">
        <f ca="1">R91-F78</f>
        <v>0</v>
      </c>
      <c r="T91" s="12">
        <f ca="1">R83/R91</f>
        <v>1.7933153729300737</v>
      </c>
      <c r="U91" s="12">
        <f ca="1">R83/F78</f>
        <v>1.7933153729300737</v>
      </c>
      <c r="V91" s="12"/>
    </row>
    <row r="92" spans="1:22" hidden="1" x14ac:dyDescent="0.25">
      <c r="D92" t="s">
        <v>1</v>
      </c>
      <c r="E92" t="s">
        <v>5</v>
      </c>
      <c r="F92" s="36">
        <f t="shared" ref="F92:Q92" ca="1" si="47">IF($B88=0,0,F84/F90)</f>
        <v>104.57110107214973</v>
      </c>
      <c r="G92" s="36">
        <f t="shared" ca="1" si="47"/>
        <v>90.473290419819421</v>
      </c>
      <c r="H92" s="36">
        <f t="shared" ca="1" si="47"/>
        <v>78.996187888751692</v>
      </c>
      <c r="I92" s="36">
        <f t="shared" ca="1" si="47"/>
        <v>27.261068112876337</v>
      </c>
      <c r="J92" s="36">
        <f t="shared" ca="1" si="47"/>
        <v>18.24492354375343</v>
      </c>
      <c r="K92" s="36">
        <f t="shared" ca="1" si="47"/>
        <v>17.384954182379232</v>
      </c>
      <c r="L92" s="36">
        <f t="shared" ca="1" si="47"/>
        <v>16.326340009364149</v>
      </c>
      <c r="M92" s="36">
        <f t="shared" ca="1" si="47"/>
        <v>16.8516837087254</v>
      </c>
      <c r="N92" s="36">
        <f t="shared" ca="1" si="47"/>
        <v>28.141098218215632</v>
      </c>
      <c r="O92" s="36">
        <f t="shared" ca="1" si="47"/>
        <v>56.620216368120694</v>
      </c>
      <c r="P92" s="36">
        <f t="shared" ca="1" si="47"/>
        <v>93.896653322524571</v>
      </c>
      <c r="Q92" s="36">
        <f t="shared" ca="1" si="47"/>
        <v>102.46564266130108</v>
      </c>
      <c r="R92" s="36">
        <f ca="1">SUM(F92:Q92)</f>
        <v>651.23315950798133</v>
      </c>
      <c r="S92" s="11">
        <f ca="1">R92-G78</f>
        <v>0</v>
      </c>
      <c r="T92" s="12">
        <f ca="1">R84/R92</f>
        <v>3.34924269276644</v>
      </c>
      <c r="U92" s="12">
        <f ca="1">R84/G78</f>
        <v>3.34924269276644</v>
      </c>
      <c r="V92" s="12"/>
    </row>
    <row r="93" spans="1:22" hidden="1" x14ac:dyDescent="0.25">
      <c r="D93" t="s">
        <v>3</v>
      </c>
      <c r="E93" t="s">
        <v>5</v>
      </c>
      <c r="F93" s="36">
        <f t="shared" ref="F93:Q93" ca="1" si="48">SUM(F91:F92)</f>
        <v>465.77255405930305</v>
      </c>
      <c r="G93" s="36">
        <f t="shared" ca="1" si="48"/>
        <v>195.72832811880414</v>
      </c>
      <c r="H93" s="36">
        <f t="shared" ca="1" si="48"/>
        <v>87.228755418134455</v>
      </c>
      <c r="I93" s="36">
        <f t="shared" ca="1" si="48"/>
        <v>27.261068112876337</v>
      </c>
      <c r="J93" s="36">
        <f t="shared" ca="1" si="48"/>
        <v>18.24492354375343</v>
      </c>
      <c r="K93" s="36">
        <f t="shared" ca="1" si="48"/>
        <v>17.384954182379232</v>
      </c>
      <c r="L93" s="36">
        <f t="shared" ca="1" si="48"/>
        <v>16.326340009364149</v>
      </c>
      <c r="M93" s="36">
        <f t="shared" ca="1" si="48"/>
        <v>16.8516837087254</v>
      </c>
      <c r="N93" s="36">
        <f t="shared" ca="1" si="48"/>
        <v>28.141098218215632</v>
      </c>
      <c r="O93" s="36">
        <f t="shared" ca="1" si="48"/>
        <v>56.620216368120694</v>
      </c>
      <c r="P93" s="36">
        <f t="shared" ca="1" si="48"/>
        <v>268.62000936150662</v>
      </c>
      <c r="Q93" s="36">
        <f t="shared" ca="1" si="48"/>
        <v>453.82393551308007</v>
      </c>
      <c r="R93" s="36">
        <f t="shared" ref="R93:R95" ca="1" si="49">SUM(F93:Q93)</f>
        <v>1652.0038666142632</v>
      </c>
      <c r="S93" s="11">
        <f ca="1">R93-H78</f>
        <v>0</v>
      </c>
      <c r="T93" s="12">
        <f ca="1">(R83+R84)/R93</f>
        <v>2.4066743879658525</v>
      </c>
      <c r="U93" s="12">
        <f ca="1">(R83+R84)/H78</f>
        <v>2.4066743879658525</v>
      </c>
      <c r="V93" s="12"/>
    </row>
    <row r="94" spans="1:22" hidden="1" x14ac:dyDescent="0.25">
      <c r="D94" t="s">
        <v>185</v>
      </c>
      <c r="E94" t="s">
        <v>5</v>
      </c>
      <c r="F94" s="36">
        <f t="shared" ref="F94:Q94" ca="1" si="50">$F57 * F$85/$R$85</f>
        <v>146.69106843050088</v>
      </c>
      <c r="G94" s="36">
        <f t="shared" ca="1" si="50"/>
        <v>132.49515858238789</v>
      </c>
      <c r="H94" s="36">
        <f t="shared" ca="1" si="50"/>
        <v>146.69106843050088</v>
      </c>
      <c r="I94" s="36">
        <f t="shared" ca="1" si="50"/>
        <v>141.95909848112987</v>
      </c>
      <c r="J94" s="36">
        <f t="shared" ca="1" si="50"/>
        <v>146.69106843050088</v>
      </c>
      <c r="K94" s="36">
        <f t="shared" ca="1" si="50"/>
        <v>141.95909848112987</v>
      </c>
      <c r="L94" s="36">
        <f t="shared" ca="1" si="50"/>
        <v>146.69106843050088</v>
      </c>
      <c r="M94" s="36">
        <f t="shared" ca="1" si="50"/>
        <v>146.69106843050088</v>
      </c>
      <c r="N94" s="36">
        <f t="shared" ca="1" si="50"/>
        <v>141.95909848112987</v>
      </c>
      <c r="O94" s="36">
        <f t="shared" ca="1" si="50"/>
        <v>146.69106843050088</v>
      </c>
      <c r="P94" s="36">
        <f t="shared" ca="1" si="50"/>
        <v>141.95909848112987</v>
      </c>
      <c r="Q94" s="36">
        <f t="shared" ca="1" si="50"/>
        <v>146.69106843050088</v>
      </c>
      <c r="R94" s="36">
        <f t="shared" ca="1" si="49"/>
        <v>1727.1690315204132</v>
      </c>
      <c r="T94" s="12"/>
      <c r="U94" s="12"/>
      <c r="V94" s="12"/>
    </row>
    <row r="95" spans="1:22" hidden="1" x14ac:dyDescent="0.25">
      <c r="D95" t="s">
        <v>186</v>
      </c>
      <c r="E95" t="s">
        <v>5</v>
      </c>
      <c r="F95" s="36">
        <f t="shared" ref="F95:Q95" ca="1" si="51">$F58 * F$85/$R$85</f>
        <v>40.914270731647569</v>
      </c>
      <c r="G95" s="36">
        <f t="shared" ca="1" si="51"/>
        <v>36.954825176972001</v>
      </c>
      <c r="H95" s="36">
        <f t="shared" ca="1" si="51"/>
        <v>40.914270731647569</v>
      </c>
      <c r="I95" s="36">
        <f t="shared" ca="1" si="51"/>
        <v>39.594455546755711</v>
      </c>
      <c r="J95" s="36">
        <f t="shared" ca="1" si="51"/>
        <v>40.914270731647569</v>
      </c>
      <c r="K95" s="36">
        <f t="shared" ca="1" si="51"/>
        <v>39.594455546755711</v>
      </c>
      <c r="L95" s="36">
        <f t="shared" ca="1" si="51"/>
        <v>40.914270731647569</v>
      </c>
      <c r="M95" s="36">
        <f t="shared" ca="1" si="51"/>
        <v>40.914270731647569</v>
      </c>
      <c r="N95" s="36">
        <f t="shared" ca="1" si="51"/>
        <v>39.594455546755711</v>
      </c>
      <c r="O95" s="36">
        <f t="shared" ca="1" si="51"/>
        <v>40.914270731647569</v>
      </c>
      <c r="P95" s="36">
        <f t="shared" ca="1" si="51"/>
        <v>39.594455546755711</v>
      </c>
      <c r="Q95" s="36">
        <f t="shared" ca="1" si="51"/>
        <v>40.914270731647569</v>
      </c>
      <c r="R95" s="36">
        <f t="shared" ca="1" si="49"/>
        <v>481.7325424855278</v>
      </c>
      <c r="T95" s="12"/>
      <c r="U95" s="12"/>
      <c r="V95" s="12"/>
    </row>
    <row r="96" spans="1:22" hidden="1" x14ac:dyDescent="0.25">
      <c r="D96" t="s">
        <v>2</v>
      </c>
      <c r="E96" t="s">
        <v>5</v>
      </c>
      <c r="F96" s="36">
        <f t="shared" ref="F96:Q96" ca="1" si="52">SUM(F93:F95)</f>
        <v>653.37789322145147</v>
      </c>
      <c r="G96" s="36">
        <f t="shared" ca="1" si="52"/>
        <v>365.17831187816404</v>
      </c>
      <c r="H96" s="36">
        <f t="shared" ca="1" si="52"/>
        <v>274.83409458028291</v>
      </c>
      <c r="I96" s="36">
        <f t="shared" ca="1" si="52"/>
        <v>208.81462214076191</v>
      </c>
      <c r="J96" s="36">
        <f t="shared" ca="1" si="52"/>
        <v>205.85026270590188</v>
      </c>
      <c r="K96" s="36">
        <f t="shared" ca="1" si="52"/>
        <v>198.93850821026481</v>
      </c>
      <c r="L96" s="36">
        <f t="shared" ca="1" si="52"/>
        <v>203.9316791715126</v>
      </c>
      <c r="M96" s="36">
        <f t="shared" ca="1" si="52"/>
        <v>204.45702287087386</v>
      </c>
      <c r="N96" s="36">
        <f t="shared" ca="1" si="52"/>
        <v>209.69465224610121</v>
      </c>
      <c r="O96" s="36">
        <f t="shared" ca="1" si="52"/>
        <v>244.22555553026913</v>
      </c>
      <c r="P96" s="36">
        <f t="shared" ca="1" si="52"/>
        <v>450.17356338939226</v>
      </c>
      <c r="Q96" s="36">
        <f t="shared" ca="1" si="52"/>
        <v>641.4292746752285</v>
      </c>
      <c r="R96" s="36">
        <f t="shared" ref="R96:R97" ca="1" si="53">SUM(F96:Q96)</f>
        <v>3860.9054406202049</v>
      </c>
      <c r="V96" s="60"/>
    </row>
    <row r="97" spans="1:22" hidden="1" x14ac:dyDescent="0.25">
      <c r="D97" t="s">
        <v>137</v>
      </c>
      <c r="E97" t="s">
        <v>5</v>
      </c>
      <c r="F97" s="21">
        <f t="shared" ref="F97:Q97" ca="1" si="54">F56</f>
        <v>271.36207218675281</v>
      </c>
      <c r="G97" s="21">
        <f t="shared" ca="1" si="54"/>
        <v>536.79034784475687</v>
      </c>
      <c r="H97" s="21">
        <f t="shared" ca="1" si="54"/>
        <v>742.22290492900254</v>
      </c>
      <c r="I97" s="21">
        <f t="shared" ca="1" si="54"/>
        <v>1095.8865654275576</v>
      </c>
      <c r="J97" s="21">
        <f t="shared" ca="1" si="54"/>
        <v>1277.0844071450449</v>
      </c>
      <c r="K97" s="21">
        <f t="shared" ca="1" si="54"/>
        <v>1188.2391316397941</v>
      </c>
      <c r="L97" s="21">
        <f t="shared" ca="1" si="54"/>
        <v>1233.7926590112797</v>
      </c>
      <c r="M97" s="21">
        <f t="shared" ca="1" si="54"/>
        <v>1205.9651549357322</v>
      </c>
      <c r="N97" s="21">
        <f t="shared" ca="1" si="54"/>
        <v>955.93359895557899</v>
      </c>
      <c r="O97" s="21">
        <f t="shared" ca="1" si="54"/>
        <v>630.94755589609895</v>
      </c>
      <c r="P97" s="21">
        <f t="shared" ca="1" si="54"/>
        <v>301.11105097880625</v>
      </c>
      <c r="Q97" s="21">
        <f t="shared" ca="1" si="54"/>
        <v>195.59028888759164</v>
      </c>
      <c r="R97" s="22">
        <f t="shared" ca="1" si="53"/>
        <v>9634.9257378379971</v>
      </c>
      <c r="T97" s="12"/>
      <c r="U97" s="12"/>
      <c r="V97" s="60" t="str">
        <f ca="1">IF(R97&gt;=R96,"Net Zero","No Net Zero")</f>
        <v>Net Zero</v>
      </c>
    </row>
    <row r="98" spans="1:22" hidden="1" x14ac:dyDescent="0.25">
      <c r="D98" s="39" t="s">
        <v>160</v>
      </c>
      <c r="E98" s="39" t="s">
        <v>5</v>
      </c>
      <c r="F98" s="37">
        <f t="shared" ref="F98:R98" ca="1" si="55">F96-F97</f>
        <v>382.01582103469866</v>
      </c>
      <c r="G98" s="34">
        <f t="shared" ca="1" si="55"/>
        <v>-171.61203596659283</v>
      </c>
      <c r="H98" s="34">
        <f t="shared" ca="1" si="55"/>
        <v>-467.38881034871963</v>
      </c>
      <c r="I98" s="34">
        <f t="shared" ca="1" si="55"/>
        <v>-887.07194328679566</v>
      </c>
      <c r="J98" s="34">
        <f t="shared" ca="1" si="55"/>
        <v>-1071.2341444391429</v>
      </c>
      <c r="K98" s="34">
        <f t="shared" ca="1" si="55"/>
        <v>-989.30062342952931</v>
      </c>
      <c r="L98" s="34">
        <f t="shared" ca="1" si="55"/>
        <v>-1029.8609798397672</v>
      </c>
      <c r="M98" s="34">
        <f t="shared" ca="1" si="55"/>
        <v>-1001.5081320648584</v>
      </c>
      <c r="N98" s="34">
        <f t="shared" ca="1" si="55"/>
        <v>-746.23894670947777</v>
      </c>
      <c r="O98" s="34">
        <f t="shared" ca="1" si="55"/>
        <v>-386.72200036582979</v>
      </c>
      <c r="P98" s="34">
        <f t="shared" ca="1" si="55"/>
        <v>149.06251241058601</v>
      </c>
      <c r="Q98" s="34">
        <f t="shared" ca="1" si="55"/>
        <v>445.83898578763683</v>
      </c>
      <c r="R98" s="34">
        <f t="shared" ca="1" si="55"/>
        <v>-5774.0202972177922</v>
      </c>
      <c r="T98" s="12"/>
      <c r="U98" s="12"/>
      <c r="V98" s="12"/>
    </row>
    <row r="99" spans="1:22" hidden="1" x14ac:dyDescent="0.25">
      <c r="D99" s="39" t="s">
        <v>161</v>
      </c>
      <c r="E99" s="39" t="s">
        <v>78</v>
      </c>
      <c r="F99" s="38">
        <f t="shared" ref="F99:R99" ca="1" si="56">F98/F97</f>
        <v>1.4077716091871282</v>
      </c>
      <c r="G99" s="35">
        <f t="shared" ca="1" si="56"/>
        <v>-0.31970030134786276</v>
      </c>
      <c r="H99" s="35">
        <f t="shared" ca="1" si="56"/>
        <v>-0.62971488382378582</v>
      </c>
      <c r="I99" s="35">
        <f t="shared" ca="1" si="56"/>
        <v>-0.80945598866859603</v>
      </c>
      <c r="J99" s="35">
        <f t="shared" ca="1" si="56"/>
        <v>-0.83881232786634241</v>
      </c>
      <c r="K99" s="35">
        <f t="shared" ca="1" si="56"/>
        <v>-0.83257704370018049</v>
      </c>
      <c r="L99" s="35">
        <f t="shared" ca="1" si="56"/>
        <v>-0.83471154761535327</v>
      </c>
      <c r="M99" s="35">
        <f t="shared" ca="1" si="56"/>
        <v>-0.83046191506107847</v>
      </c>
      <c r="N99" s="35">
        <f t="shared" ca="1" si="56"/>
        <v>-0.78063889325031932</v>
      </c>
      <c r="O99" s="35">
        <f t="shared" ca="1" si="56"/>
        <v>-0.61292257454994103</v>
      </c>
      <c r="P99" s="35">
        <f t="shared" ca="1" si="56"/>
        <v>0.49504165299159941</v>
      </c>
      <c r="Q99" s="35">
        <f t="shared" ca="1" si="56"/>
        <v>2.2794535880248454</v>
      </c>
      <c r="R99" s="35">
        <f t="shared" ca="1" si="56"/>
        <v>-0.59928020768673174</v>
      </c>
      <c r="T99" s="12"/>
      <c r="U99" s="12"/>
      <c r="V99" s="12"/>
    </row>
    <row r="100" spans="1:22" hidden="1" x14ac:dyDescent="0.25">
      <c r="D100" s="39"/>
      <c r="E100" s="39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35"/>
      <c r="T100" s="12"/>
      <c r="U100" s="12"/>
      <c r="V100" s="12"/>
    </row>
    <row r="101" spans="1:22" hidden="1" x14ac:dyDescent="0.25">
      <c r="A101" t="s">
        <v>226</v>
      </c>
      <c r="C101" s="26">
        <f>E132</f>
        <v>0.45</v>
      </c>
      <c r="D101" t="s">
        <v>205</v>
      </c>
      <c r="E101" s="39" t="s">
        <v>5</v>
      </c>
      <c r="F101" s="19">
        <f t="shared" ref="F101:Q101" ca="1" si="57">MIN(F97,$E$132*(F92+F94+F95))</f>
        <v>131.4793981054342</v>
      </c>
      <c r="G101" s="19">
        <f t="shared" ca="1" si="57"/>
        <v>116.9654733806307</v>
      </c>
      <c r="H101" s="19">
        <f t="shared" ca="1" si="57"/>
        <v>119.97068717290506</v>
      </c>
      <c r="I101" s="19">
        <f t="shared" ca="1" si="57"/>
        <v>93.966579963342866</v>
      </c>
      <c r="J101" s="19">
        <f t="shared" ca="1" si="57"/>
        <v>92.632618217655846</v>
      </c>
      <c r="K101" s="19">
        <f t="shared" ca="1" si="57"/>
        <v>89.522328694619162</v>
      </c>
      <c r="L101" s="19">
        <f t="shared" ca="1" si="57"/>
        <v>91.769255627180669</v>
      </c>
      <c r="M101" s="19">
        <f t="shared" ca="1" si="57"/>
        <v>92.005660291893236</v>
      </c>
      <c r="N101" s="19">
        <f t="shared" ca="1" si="57"/>
        <v>94.362593510745555</v>
      </c>
      <c r="O101" s="19">
        <f t="shared" ca="1" si="57"/>
        <v>109.90149998862111</v>
      </c>
      <c r="P101" s="19">
        <f t="shared" ca="1" si="57"/>
        <v>123.95259330768457</v>
      </c>
      <c r="Q101" s="19">
        <f t="shared" ca="1" si="57"/>
        <v>130.5319418205523</v>
      </c>
      <c r="R101" s="46">
        <f ca="1">SUM(F101:Q101)</f>
        <v>1287.0606300812651</v>
      </c>
      <c r="T101" s="12"/>
      <c r="U101" s="12"/>
      <c r="V101" s="12"/>
    </row>
    <row r="102" spans="1:22" hidden="1" x14ac:dyDescent="0.25">
      <c r="D102" t="s">
        <v>214</v>
      </c>
      <c r="E102" s="39" t="s">
        <v>5</v>
      </c>
      <c r="F102" s="19">
        <f t="shared" ref="F102:Q102" ca="1" si="58">F96-F101</f>
        <v>521.89849511601733</v>
      </c>
      <c r="G102" s="19">
        <f t="shared" ca="1" si="58"/>
        <v>248.21283849753334</v>
      </c>
      <c r="H102" s="19">
        <f t="shared" ca="1" si="58"/>
        <v>154.86340740737785</v>
      </c>
      <c r="I102" s="19">
        <f t="shared" ca="1" si="58"/>
        <v>114.84804217741905</v>
      </c>
      <c r="J102" s="19">
        <f t="shared" ca="1" si="58"/>
        <v>113.21764448824604</v>
      </c>
      <c r="K102" s="19">
        <f t="shared" ca="1" si="58"/>
        <v>109.41617951564565</v>
      </c>
      <c r="L102" s="19">
        <f t="shared" ca="1" si="58"/>
        <v>112.16242354433193</v>
      </c>
      <c r="M102" s="19">
        <f t="shared" ca="1" si="58"/>
        <v>112.45136257898062</v>
      </c>
      <c r="N102" s="19">
        <f t="shared" ca="1" si="58"/>
        <v>115.33205873535566</v>
      </c>
      <c r="O102" s="19">
        <f t="shared" ca="1" si="58"/>
        <v>134.32405554164802</v>
      </c>
      <c r="P102" s="19">
        <f t="shared" ca="1" si="58"/>
        <v>326.22097008170772</v>
      </c>
      <c r="Q102" s="19">
        <f t="shared" ca="1" si="58"/>
        <v>510.89733285467616</v>
      </c>
      <c r="R102" s="46">
        <f ca="1">SUM(F102:Q102)</f>
        <v>2573.8448105389393</v>
      </c>
      <c r="T102" s="12"/>
      <c r="U102" s="12"/>
      <c r="V102" s="12"/>
    </row>
    <row r="103" spans="1:22" hidden="1" x14ac:dyDescent="0.25">
      <c r="D103" t="s">
        <v>216</v>
      </c>
      <c r="E103" s="39" t="s">
        <v>5</v>
      </c>
      <c r="F103" s="45">
        <f t="shared" ref="F103:Q103" ca="1" si="59">F96-F104</f>
        <v>271.36207218675281</v>
      </c>
      <c r="G103" s="45">
        <f t="shared" ca="1" si="59"/>
        <v>365.17831187816404</v>
      </c>
      <c r="H103" s="45">
        <f t="shared" ca="1" si="59"/>
        <v>274.83409458028291</v>
      </c>
      <c r="I103" s="45">
        <f t="shared" ca="1" si="59"/>
        <v>208.81462214076191</v>
      </c>
      <c r="J103" s="45">
        <f t="shared" ca="1" si="59"/>
        <v>205.85026270590188</v>
      </c>
      <c r="K103" s="45">
        <f t="shared" ca="1" si="59"/>
        <v>198.93850821026481</v>
      </c>
      <c r="L103" s="45">
        <f t="shared" ca="1" si="59"/>
        <v>203.9316791715126</v>
      </c>
      <c r="M103" s="45">
        <f t="shared" ca="1" si="59"/>
        <v>204.45702287087386</v>
      </c>
      <c r="N103" s="45">
        <f t="shared" ca="1" si="59"/>
        <v>209.69465224610121</v>
      </c>
      <c r="O103" s="45">
        <f t="shared" ca="1" si="59"/>
        <v>244.22555553026913</v>
      </c>
      <c r="P103" s="45">
        <f t="shared" ca="1" si="59"/>
        <v>301.11105097880625</v>
      </c>
      <c r="Q103" s="45">
        <f t="shared" ca="1" si="59"/>
        <v>195.59028888759167</v>
      </c>
      <c r="R103" s="52">
        <f ca="1">SUM(F103:Q103)</f>
        <v>2883.9881213872832</v>
      </c>
      <c r="T103" s="12"/>
      <c r="U103" s="12"/>
      <c r="V103" s="12"/>
    </row>
    <row r="104" spans="1:22" hidden="1" x14ac:dyDescent="0.25">
      <c r="D104" t="s">
        <v>217</v>
      </c>
      <c r="E104" s="39" t="s">
        <v>5</v>
      </c>
      <c r="F104" s="45">
        <f t="shared" ref="F104:Q104" ca="1" si="60">MAX(0,F96-F97)</f>
        <v>382.01582103469866</v>
      </c>
      <c r="G104" s="45">
        <f t="shared" ca="1" si="60"/>
        <v>0</v>
      </c>
      <c r="H104" s="45">
        <f t="shared" ca="1" si="60"/>
        <v>0</v>
      </c>
      <c r="I104" s="45">
        <f t="shared" ca="1" si="60"/>
        <v>0</v>
      </c>
      <c r="J104" s="45">
        <f t="shared" ca="1" si="60"/>
        <v>0</v>
      </c>
      <c r="K104" s="45">
        <f t="shared" ca="1" si="60"/>
        <v>0</v>
      </c>
      <c r="L104" s="45">
        <f t="shared" ca="1" si="60"/>
        <v>0</v>
      </c>
      <c r="M104" s="45">
        <f t="shared" ca="1" si="60"/>
        <v>0</v>
      </c>
      <c r="N104" s="45">
        <f t="shared" ca="1" si="60"/>
        <v>0</v>
      </c>
      <c r="O104" s="45">
        <f t="shared" ca="1" si="60"/>
        <v>0</v>
      </c>
      <c r="P104" s="45">
        <f t="shared" ca="1" si="60"/>
        <v>149.06251241058601</v>
      </c>
      <c r="Q104" s="45">
        <f t="shared" ca="1" si="60"/>
        <v>445.83898578763683</v>
      </c>
      <c r="R104" s="52">
        <f ca="1">SUM(F104:Q104)</f>
        <v>976.9173192329215</v>
      </c>
      <c r="T104" s="12"/>
      <c r="U104" s="12"/>
      <c r="V104" s="12"/>
    </row>
    <row r="105" spans="1:22" ht="21" hidden="1" x14ac:dyDescent="0.35">
      <c r="D105" s="17" t="s">
        <v>218</v>
      </c>
      <c r="T105" s="12"/>
      <c r="U105" s="12"/>
      <c r="V105" t="s">
        <v>197</v>
      </c>
    </row>
    <row r="106" spans="1:22" hidden="1" x14ac:dyDescent="0.25">
      <c r="C106" t="s">
        <v>215</v>
      </c>
      <c r="D106" t="s">
        <v>219</v>
      </c>
      <c r="F106" s="35">
        <f t="shared" ref="F106:P106" ca="1" si="61">F101/F97</f>
        <v>0.48451648767978667</v>
      </c>
      <c r="G106" s="35">
        <f t="shared" ca="1" si="61"/>
        <v>0.21789786990443025</v>
      </c>
      <c r="H106" s="35">
        <f t="shared" ca="1" si="61"/>
        <v>0.16163700470060388</v>
      </c>
      <c r="I106" s="35">
        <f t="shared" ca="1" si="61"/>
        <v>8.5744805099131793E-2</v>
      </c>
      <c r="J106" s="35">
        <f t="shared" ca="1" si="61"/>
        <v>7.2534452460145879E-2</v>
      </c>
      <c r="K106" s="35">
        <f t="shared" ca="1" si="61"/>
        <v>7.5340330334918812E-2</v>
      </c>
      <c r="L106" s="35">
        <f t="shared" ca="1" si="61"/>
        <v>7.4379803573091027E-2</v>
      </c>
      <c r="M106" s="35">
        <f t="shared" ca="1" si="61"/>
        <v>7.6292138222514697E-2</v>
      </c>
      <c r="N106" s="35">
        <f t="shared" ca="1" si="61"/>
        <v>9.8712498037356322E-2</v>
      </c>
      <c r="O106" s="35">
        <f t="shared" ca="1" si="61"/>
        <v>0.17418484145252652</v>
      </c>
      <c r="P106" s="35">
        <f t="shared" ca="1" si="61"/>
        <v>0.41165076108883492</v>
      </c>
      <c r="Q106" s="35">
        <f t="shared" ref="Q106:R106" ca="1" si="62">Q101/Q97</f>
        <v>0.66737434952903396</v>
      </c>
      <c r="R106" s="35">
        <f t="shared" ca="1" si="62"/>
        <v>0.13358282825437445</v>
      </c>
      <c r="T106" s="12"/>
      <c r="U106" s="12"/>
      <c r="V106" s="49">
        <f ca="1">R103/R97</f>
        <v>0.29932645044282696</v>
      </c>
    </row>
    <row r="107" spans="1:22" hidden="1" x14ac:dyDescent="0.25">
      <c r="C107" t="s">
        <v>204</v>
      </c>
      <c r="D107" t="s">
        <v>220</v>
      </c>
      <c r="F107" s="35">
        <f t="shared" ref="F107:R107" ca="1" si="63">F101/F96</f>
        <v>0.20123025200191685</v>
      </c>
      <c r="G107" s="35">
        <f t="shared" ca="1" si="63"/>
        <v>0.32029687847304134</v>
      </c>
      <c r="H107" s="35">
        <f t="shared" ca="1" si="63"/>
        <v>0.43652039371650786</v>
      </c>
      <c r="I107" s="35">
        <f t="shared" ca="1" si="63"/>
        <v>0.45</v>
      </c>
      <c r="J107" s="35">
        <f t="shared" ca="1" si="63"/>
        <v>0.45</v>
      </c>
      <c r="K107" s="35">
        <f t="shared" ca="1" si="63"/>
        <v>0.44999999999999996</v>
      </c>
      <c r="L107" s="35">
        <f t="shared" ca="1" si="63"/>
        <v>0.45</v>
      </c>
      <c r="M107" s="35">
        <f t="shared" ca="1" si="63"/>
        <v>0.45</v>
      </c>
      <c r="N107" s="35">
        <f t="shared" ca="1" si="63"/>
        <v>0.45000000000000007</v>
      </c>
      <c r="O107" s="35">
        <f t="shared" ca="1" si="63"/>
        <v>0.45</v>
      </c>
      <c r="P107" s="35">
        <f t="shared" ca="1" si="63"/>
        <v>0.27534400815195748</v>
      </c>
      <c r="Q107" s="35">
        <f t="shared" ca="1" si="63"/>
        <v>0.20350169063712262</v>
      </c>
      <c r="R107" s="35">
        <f t="shared" ca="1" si="63"/>
        <v>0.3333572007592383</v>
      </c>
      <c r="T107" s="12"/>
      <c r="U107" s="12"/>
      <c r="V107" s="49">
        <f ca="1">R103/R96</f>
        <v>0.74697196441154168</v>
      </c>
    </row>
    <row r="108" spans="1:22" ht="21" hidden="1" x14ac:dyDescent="0.35">
      <c r="D108" s="17" t="s">
        <v>238</v>
      </c>
      <c r="T108" s="12"/>
      <c r="U108" s="12"/>
      <c r="V108" s="49"/>
    </row>
    <row r="109" spans="1:22" hidden="1" x14ac:dyDescent="0.25">
      <c r="C109" t="s">
        <v>240</v>
      </c>
      <c r="D109" t="s">
        <v>242</v>
      </c>
      <c r="F109" s="61">
        <f t="shared" ref="F109:Q109" si="64">F141</f>
        <v>2.0099999999999998</v>
      </c>
      <c r="G109" s="61">
        <f t="shared" si="64"/>
        <v>1.96</v>
      </c>
      <c r="H109" s="61">
        <f t="shared" si="64"/>
        <v>1.89</v>
      </c>
      <c r="I109" s="61">
        <f t="shared" si="64"/>
        <v>1.6</v>
      </c>
      <c r="J109" s="61">
        <f t="shared" si="64"/>
        <v>1.33</v>
      </c>
      <c r="K109" s="61">
        <f t="shared" si="64"/>
        <v>1.2</v>
      </c>
      <c r="L109" s="61">
        <f t="shared" si="64"/>
        <v>1.18</v>
      </c>
      <c r="M109" s="61">
        <f t="shared" si="64"/>
        <v>1.28</v>
      </c>
      <c r="N109" s="61">
        <f t="shared" si="64"/>
        <v>1.53</v>
      </c>
      <c r="O109" s="61">
        <f t="shared" si="64"/>
        <v>1.78</v>
      </c>
      <c r="P109" s="61">
        <f t="shared" si="64"/>
        <v>1.92</v>
      </c>
      <c r="Q109" s="61">
        <f t="shared" si="64"/>
        <v>2.0099999999999998</v>
      </c>
      <c r="R109" s="62"/>
      <c r="T109" s="12"/>
      <c r="U109" s="12"/>
      <c r="V109" s="49"/>
    </row>
    <row r="110" spans="1:22" ht="18.75" hidden="1" x14ac:dyDescent="0.35">
      <c r="C110" t="s">
        <v>241</v>
      </c>
      <c r="D110" t="s">
        <v>239</v>
      </c>
      <c r="E110" t="s">
        <v>227</v>
      </c>
      <c r="F110" s="36">
        <f ca="1">F102*F109</f>
        <v>1049.0159751831948</v>
      </c>
      <c r="G110" s="36">
        <f t="shared" ref="G110:Q110" ca="1" si="65">G102*G109</f>
        <v>486.49716345516532</v>
      </c>
      <c r="H110" s="36">
        <f t="shared" ca="1" si="65"/>
        <v>292.69183999994414</v>
      </c>
      <c r="I110" s="36">
        <f t="shared" ca="1" si="65"/>
        <v>183.75686748387048</v>
      </c>
      <c r="J110" s="36">
        <f t="shared" ca="1" si="65"/>
        <v>150.57946716936723</v>
      </c>
      <c r="K110" s="36">
        <f t="shared" ca="1" si="65"/>
        <v>131.29941541877477</v>
      </c>
      <c r="L110" s="36">
        <f t="shared" ca="1" si="65"/>
        <v>132.35165978231166</v>
      </c>
      <c r="M110" s="36">
        <f t="shared" ca="1" si="65"/>
        <v>143.93774410109521</v>
      </c>
      <c r="N110" s="36">
        <f t="shared" ca="1" si="65"/>
        <v>176.45804986509415</v>
      </c>
      <c r="O110" s="36">
        <f t="shared" ca="1" si="65"/>
        <v>239.0968188641335</v>
      </c>
      <c r="P110" s="36">
        <f t="shared" ca="1" si="65"/>
        <v>626.34426255687879</v>
      </c>
      <c r="Q110" s="36">
        <f t="shared" ca="1" si="65"/>
        <v>1026.903639037899</v>
      </c>
      <c r="R110" s="36">
        <f ca="1">SUM(F110:Q110)</f>
        <v>4638.9329029177288</v>
      </c>
      <c r="T110" s="12"/>
      <c r="U110" s="12"/>
      <c r="V110" s="49"/>
    </row>
    <row r="111" spans="1:22" hidden="1" x14ac:dyDescent="0.25"/>
    <row r="112" spans="1:22" ht="17.25" x14ac:dyDescent="0.25">
      <c r="D112" t="s">
        <v>225</v>
      </c>
      <c r="E112" t="s">
        <v>230</v>
      </c>
      <c r="F112" s="21">
        <f ca="1">IF($F$60=1,F75,"")</f>
        <v>156</v>
      </c>
    </row>
    <row r="113" spans="3:25" x14ac:dyDescent="0.25">
      <c r="F113" s="47"/>
    </row>
    <row r="114" spans="3:25" ht="21" x14ac:dyDescent="0.35">
      <c r="D114" s="17" t="s">
        <v>70</v>
      </c>
    </row>
    <row r="115" spans="3:25" ht="15.75" thickBot="1" x14ac:dyDescent="0.3">
      <c r="F115" s="4">
        <v>1</v>
      </c>
      <c r="G115" s="4">
        <f t="shared" ref="G115" si="66">F115+1</f>
        <v>2</v>
      </c>
      <c r="H115" s="4">
        <f t="shared" ref="H115" si="67">G115+1</f>
        <v>3</v>
      </c>
      <c r="I115" s="4">
        <f t="shared" ref="I115" si="68">H115+1</f>
        <v>4</v>
      </c>
      <c r="J115" s="4">
        <f t="shared" ref="J115" si="69">I115+1</f>
        <v>5</v>
      </c>
      <c r="K115" s="4">
        <f t="shared" ref="K115" si="70">J115+1</f>
        <v>6</v>
      </c>
      <c r="L115" s="4">
        <f t="shared" ref="L115" si="71">K115+1</f>
        <v>7</v>
      </c>
      <c r="M115" s="4">
        <f t="shared" ref="M115" si="72">L115+1</f>
        <v>8</v>
      </c>
      <c r="N115" s="4">
        <f t="shared" ref="N115" si="73">M115+1</f>
        <v>9</v>
      </c>
      <c r="O115" s="4">
        <f t="shared" ref="O115" si="74">N115+1</f>
        <v>10</v>
      </c>
      <c r="P115" s="4">
        <f t="shared" ref="P115" si="75">O115+1</f>
        <v>11</v>
      </c>
      <c r="Q115" s="5">
        <f t="shared" ref="Q115" si="76">P115+1</f>
        <v>12</v>
      </c>
      <c r="R115" s="5" t="s">
        <v>6</v>
      </c>
    </row>
    <row r="116" spans="3:25" x14ac:dyDescent="0.25">
      <c r="D116" t="s">
        <v>200</v>
      </c>
      <c r="E116" t="s">
        <v>8</v>
      </c>
      <c r="F116" s="20">
        <f t="shared" ref="F116:Q116" ca="1" si="77">IF($F$60=1,F80,"")</f>
        <v>0.4</v>
      </c>
      <c r="G116" s="20">
        <f t="shared" ca="1" si="77"/>
        <v>1.3</v>
      </c>
      <c r="H116" s="20">
        <f t="shared" ca="1" si="77"/>
        <v>4.4000000000000004</v>
      </c>
      <c r="I116" s="20">
        <f t="shared" ca="1" si="77"/>
        <v>8.4</v>
      </c>
      <c r="J116" s="20">
        <f t="shared" ca="1" si="77"/>
        <v>12.9</v>
      </c>
      <c r="K116" s="20">
        <f t="shared" ca="1" si="77"/>
        <v>16.3</v>
      </c>
      <c r="L116" s="20">
        <f t="shared" ca="1" si="77"/>
        <v>17.600000000000001</v>
      </c>
      <c r="M116" s="20">
        <f t="shared" ca="1" si="77"/>
        <v>17</v>
      </c>
      <c r="N116" s="20">
        <f t="shared" ca="1" si="77"/>
        <v>13.9</v>
      </c>
      <c r="O116" s="20">
        <f t="shared" ca="1" si="77"/>
        <v>9.4</v>
      </c>
      <c r="P116" s="20">
        <f t="shared" ca="1" si="77"/>
        <v>4.7</v>
      </c>
      <c r="Q116" s="20">
        <f t="shared" ca="1" si="77"/>
        <v>1.6</v>
      </c>
    </row>
    <row r="117" spans="3:25" x14ac:dyDescent="0.25">
      <c r="D117" t="s">
        <v>199</v>
      </c>
      <c r="E117" t="s">
        <v>8</v>
      </c>
      <c r="F117" s="20">
        <f t="shared" ref="F117:Q117" ca="1" si="78">IF($F$60=1,F81,"")</f>
        <v>55</v>
      </c>
      <c r="G117" s="20">
        <f t="shared" ca="1" si="78"/>
        <v>55</v>
      </c>
      <c r="H117" s="20">
        <f t="shared" ca="1" si="78"/>
        <v>55</v>
      </c>
      <c r="I117" s="20">
        <f t="shared" ca="1" si="78"/>
        <v>55</v>
      </c>
      <c r="J117" s="20">
        <f t="shared" ca="1" si="78"/>
        <v>55</v>
      </c>
      <c r="K117" s="20">
        <f t="shared" ca="1" si="78"/>
        <v>55</v>
      </c>
      <c r="L117" s="20">
        <f t="shared" ca="1" si="78"/>
        <v>55</v>
      </c>
      <c r="M117" s="20">
        <f t="shared" ca="1" si="78"/>
        <v>55</v>
      </c>
      <c r="N117" s="20">
        <f t="shared" ca="1" si="78"/>
        <v>55</v>
      </c>
      <c r="O117" s="20">
        <f t="shared" ca="1" si="78"/>
        <v>55</v>
      </c>
      <c r="P117" s="20">
        <f t="shared" ca="1" si="78"/>
        <v>55</v>
      </c>
      <c r="Q117" s="20">
        <f t="shared" ca="1" si="78"/>
        <v>55</v>
      </c>
    </row>
    <row r="118" spans="3:25" x14ac:dyDescent="0.25">
      <c r="D118" t="s">
        <v>201</v>
      </c>
      <c r="E118" t="s">
        <v>8</v>
      </c>
      <c r="F118" s="20">
        <f t="shared" ref="F118:Q118" ca="1" si="79">IF($F$60=1,F82,"")</f>
        <v>60</v>
      </c>
      <c r="G118" s="20">
        <f t="shared" ca="1" si="79"/>
        <v>60</v>
      </c>
      <c r="H118" s="20">
        <f t="shared" ca="1" si="79"/>
        <v>60</v>
      </c>
      <c r="I118" s="20">
        <f t="shared" ca="1" si="79"/>
        <v>60</v>
      </c>
      <c r="J118" s="20">
        <f t="shared" ca="1" si="79"/>
        <v>60</v>
      </c>
      <c r="K118" s="20">
        <f t="shared" ca="1" si="79"/>
        <v>60</v>
      </c>
      <c r="L118" s="20">
        <f t="shared" ca="1" si="79"/>
        <v>60</v>
      </c>
      <c r="M118" s="20">
        <f t="shared" ca="1" si="79"/>
        <v>60</v>
      </c>
      <c r="N118" s="20">
        <f t="shared" ca="1" si="79"/>
        <v>60</v>
      </c>
      <c r="O118" s="20">
        <f t="shared" ca="1" si="79"/>
        <v>60</v>
      </c>
      <c r="P118" s="20">
        <f t="shared" ca="1" si="79"/>
        <v>60</v>
      </c>
      <c r="Q118" s="20">
        <f t="shared" ca="1" si="79"/>
        <v>60</v>
      </c>
    </row>
    <row r="119" spans="3:25" ht="18.75" x14ac:dyDescent="0.35">
      <c r="D119" t="s">
        <v>206</v>
      </c>
      <c r="E119" t="s">
        <v>227</v>
      </c>
      <c r="F119" s="20">
        <f t="shared" ref="F119:R119" ca="1" si="80">IF($F$60=1,F83/$F$112,"")</f>
        <v>4.0500579433157293</v>
      </c>
      <c r="G119" s="20">
        <f t="shared" ca="1" si="80"/>
        <v>1.1999772047631461</v>
      </c>
      <c r="H119" s="20">
        <f t="shared" ca="1" si="80"/>
        <v>9.9606843020965674E-2</v>
      </c>
      <c r="I119" s="20">
        <f t="shared" ca="1" si="80"/>
        <v>0</v>
      </c>
      <c r="J119" s="20">
        <f t="shared" ca="1" si="80"/>
        <v>0</v>
      </c>
      <c r="K119" s="20">
        <f t="shared" ca="1" si="80"/>
        <v>0</v>
      </c>
      <c r="L119" s="20">
        <f t="shared" ca="1" si="80"/>
        <v>0</v>
      </c>
      <c r="M119" s="20">
        <f t="shared" ca="1" si="80"/>
        <v>0</v>
      </c>
      <c r="N119" s="20">
        <f t="shared" ca="1" si="80"/>
        <v>0</v>
      </c>
      <c r="O119" s="20">
        <f t="shared" ca="1" si="80"/>
        <v>0</v>
      </c>
      <c r="P119" s="20">
        <f t="shared" ca="1" si="80"/>
        <v>2.1266076338427538</v>
      </c>
      <c r="Q119" s="20">
        <f t="shared" ca="1" si="80"/>
        <v>4.0282214893637853</v>
      </c>
      <c r="R119" s="51">
        <f t="shared" ca="1" si="80"/>
        <v>11.50447111430638</v>
      </c>
    </row>
    <row r="120" spans="3:25" ht="18.75" x14ac:dyDescent="0.35">
      <c r="D120" t="s">
        <v>207</v>
      </c>
      <c r="E120" t="s">
        <v>227</v>
      </c>
      <c r="F120" s="20">
        <f t="shared" ref="F120:R120" ca="1" si="81">IF($F$60=1,F84/$F$112,"")</f>
        <v>2.0461668459242728</v>
      </c>
      <c r="G120" s="20">
        <f t="shared" ca="1" si="81"/>
        <v>1.7974545036699869</v>
      </c>
      <c r="H120" s="20">
        <f t="shared" ca="1" si="81"/>
        <v>1.6569406963686499</v>
      </c>
      <c r="I120" s="20">
        <f t="shared" ca="1" si="81"/>
        <v>0.61612493959812353</v>
      </c>
      <c r="J120" s="20">
        <f t="shared" ca="1" si="81"/>
        <v>0.45174854555106986</v>
      </c>
      <c r="K120" s="20">
        <f t="shared" ca="1" si="81"/>
        <v>0.46394632165210592</v>
      </c>
      <c r="L120" s="20">
        <f t="shared" ca="1" si="81"/>
        <v>0.4490540344005633</v>
      </c>
      <c r="M120" s="20">
        <f t="shared" ca="1" si="81"/>
        <v>0.45703605878572279</v>
      </c>
      <c r="N120" s="20">
        <f t="shared" ca="1" si="81"/>
        <v>0.71189466597392703</v>
      </c>
      <c r="O120" s="20">
        <f t="shared" ca="1" si="81"/>
        <v>1.3049582884132891</v>
      </c>
      <c r="P120" s="20">
        <f t="shared" ca="1" si="81"/>
        <v>1.9801614637976837</v>
      </c>
      <c r="Q120" s="20">
        <f t="shared" ca="1" si="81"/>
        <v>2.0461668459242728</v>
      </c>
      <c r="R120" s="51">
        <f t="shared" ca="1" si="81"/>
        <v>13.981653210059667</v>
      </c>
    </row>
    <row r="121" spans="3:25" x14ac:dyDescent="0.25">
      <c r="D121" t="s">
        <v>202</v>
      </c>
      <c r="F121" s="45">
        <f t="shared" ref="F121:Q121" ca="1" si="82">IF($F$60=1,F89,"")</f>
        <v>1.7491874241705365</v>
      </c>
      <c r="G121" s="45">
        <f t="shared" ca="1" si="82"/>
        <v>1.7785034145197633</v>
      </c>
      <c r="H121" s="45">
        <f t="shared" ca="1" si="82"/>
        <v>1.8874631098757175</v>
      </c>
      <c r="I121" s="45">
        <f t="shared" ca="1" si="82"/>
        <v>2.0494771107234189</v>
      </c>
      <c r="J121" s="45">
        <f t="shared" ca="1" si="82"/>
        <v>2.2685423600881545</v>
      </c>
      <c r="K121" s="45">
        <f t="shared" ca="1" si="82"/>
        <v>2.467845823248354</v>
      </c>
      <c r="L121" s="45">
        <f t="shared" ca="1" si="82"/>
        <v>2.5536265604200885</v>
      </c>
      <c r="M121" s="45">
        <f t="shared" ca="1" si="82"/>
        <v>2.5133061410450344</v>
      </c>
      <c r="N121" s="45">
        <f t="shared" ca="1" si="82"/>
        <v>2.3237380379491803</v>
      </c>
      <c r="O121" s="45">
        <f t="shared" ca="1" si="82"/>
        <v>2.0944217842041954</v>
      </c>
      <c r="P121" s="45">
        <f t="shared" ca="1" si="82"/>
        <v>1.8987203451234853</v>
      </c>
      <c r="Q121" s="45">
        <f t="shared" ca="1" si="82"/>
        <v>1.7884950067361669</v>
      </c>
      <c r="R121" s="6"/>
    </row>
    <row r="122" spans="3:25" x14ac:dyDescent="0.25">
      <c r="D122" t="s">
        <v>203</v>
      </c>
      <c r="F122" s="45">
        <f t="shared" ref="F122:Q122" ca="1" si="83">IF($F$60=1,F90,"")</f>
        <v>3.0524879693477684</v>
      </c>
      <c r="G122" s="45">
        <f t="shared" ca="1" si="83"/>
        <v>3.0992893181111918</v>
      </c>
      <c r="H122" s="45">
        <f t="shared" ca="1" si="83"/>
        <v>3.2720914203799816</v>
      </c>
      <c r="I122" s="45">
        <f t="shared" ca="1" si="83"/>
        <v>3.5257419180838561</v>
      </c>
      <c r="J122" s="45">
        <f t="shared" ca="1" si="83"/>
        <v>3.8625962414676644</v>
      </c>
      <c r="K122" s="45">
        <f t="shared" ca="1" si="83"/>
        <v>4.1631186035040502</v>
      </c>
      <c r="L122" s="45">
        <f t="shared" ca="1" si="83"/>
        <v>4.2907613908756366</v>
      </c>
      <c r="M122" s="45">
        <f t="shared" ca="1" si="83"/>
        <v>4.2308903017006276</v>
      </c>
      <c r="N122" s="45">
        <f t="shared" ca="1" si="83"/>
        <v>3.9463835785927763</v>
      </c>
      <c r="O122" s="45">
        <f t="shared" ca="1" si="83"/>
        <v>3.5954206121171342</v>
      </c>
      <c r="P122" s="45">
        <f t="shared" ca="1" si="83"/>
        <v>3.2898423684109765</v>
      </c>
      <c r="Q122" s="45">
        <f t="shared" ca="1" si="83"/>
        <v>3.1152103248823115</v>
      </c>
      <c r="R122" s="6"/>
    </row>
    <row r="123" spans="3:25" ht="18.75" x14ac:dyDescent="0.35">
      <c r="C123" t="s">
        <v>194</v>
      </c>
      <c r="D123" t="s">
        <v>213</v>
      </c>
      <c r="E123" t="s">
        <v>227</v>
      </c>
      <c r="F123" s="45">
        <f t="shared" ref="F123:R123" ca="1" si="84">IF($F$60=1,F91/$F$112,"")</f>
        <v>2.3153939294048289</v>
      </c>
      <c r="G123" s="45">
        <f t="shared" ca="1" si="84"/>
        <v>0.67471178012169708</v>
      </c>
      <c r="H123" s="45">
        <f t="shared" ca="1" si="84"/>
        <v>5.2772868778094645E-2</v>
      </c>
      <c r="I123" s="45">
        <f t="shared" ca="1" si="84"/>
        <v>0</v>
      </c>
      <c r="J123" s="45">
        <f t="shared" ca="1" si="84"/>
        <v>0</v>
      </c>
      <c r="K123" s="45">
        <f t="shared" ca="1" si="84"/>
        <v>0</v>
      </c>
      <c r="L123" s="45">
        <f t="shared" ca="1" si="84"/>
        <v>0</v>
      </c>
      <c r="M123" s="45">
        <f t="shared" ca="1" si="84"/>
        <v>0</v>
      </c>
      <c r="N123" s="45">
        <f t="shared" ca="1" si="84"/>
        <v>0</v>
      </c>
      <c r="O123" s="45">
        <f t="shared" ca="1" si="84"/>
        <v>0</v>
      </c>
      <c r="P123" s="45">
        <f t="shared" ca="1" si="84"/>
        <v>1.1200215130703977</v>
      </c>
      <c r="Q123" s="45">
        <f t="shared" ca="1" si="84"/>
        <v>2.2522967490498651</v>
      </c>
      <c r="R123" s="52">
        <f t="shared" ca="1" si="84"/>
        <v>6.4151968404248834</v>
      </c>
    </row>
    <row r="124" spans="3:25" ht="18.75" x14ac:dyDescent="0.35">
      <c r="C124" t="s">
        <v>195</v>
      </c>
      <c r="D124" t="s">
        <v>212</v>
      </c>
      <c r="E124" t="s">
        <v>227</v>
      </c>
      <c r="F124" s="45">
        <f t="shared" ref="F124:R124" ca="1" si="85">IF($F$60=1,F92/$F$112,"")</f>
        <v>0.67032757097531881</v>
      </c>
      <c r="G124" s="45">
        <f t="shared" ca="1" si="85"/>
        <v>0.57995698987063726</v>
      </c>
      <c r="H124" s="45">
        <f t="shared" ca="1" si="85"/>
        <v>0.50638581979969033</v>
      </c>
      <c r="I124" s="45">
        <f t="shared" ca="1" si="85"/>
        <v>0.17475043662100218</v>
      </c>
      <c r="J124" s="45">
        <f t="shared" ca="1" si="85"/>
        <v>0.11695463810098353</v>
      </c>
      <c r="K124" s="45">
        <f t="shared" ca="1" si="85"/>
        <v>0.11144201398961047</v>
      </c>
      <c r="L124" s="45">
        <f t="shared" ca="1" si="85"/>
        <v>0.10465602570105223</v>
      </c>
      <c r="M124" s="45">
        <f t="shared" ca="1" si="85"/>
        <v>0.10802361351747052</v>
      </c>
      <c r="N124" s="45">
        <f t="shared" ca="1" si="85"/>
        <v>0.180391655244972</v>
      </c>
      <c r="O124" s="45">
        <f t="shared" ca="1" si="85"/>
        <v>0.3629501049238506</v>
      </c>
      <c r="P124" s="45">
        <f t="shared" ca="1" si="85"/>
        <v>0.60190162386233703</v>
      </c>
      <c r="Q124" s="45">
        <f t="shared" ca="1" si="85"/>
        <v>0.65683104270064796</v>
      </c>
      <c r="R124" s="52">
        <f t="shared" ca="1" si="85"/>
        <v>4.1745715353075727</v>
      </c>
    </row>
    <row r="125" spans="3:25" ht="18.75" x14ac:dyDescent="0.35">
      <c r="C125" t="s">
        <v>150</v>
      </c>
      <c r="D125" t="s">
        <v>211</v>
      </c>
      <c r="E125" t="s">
        <v>227</v>
      </c>
      <c r="F125" s="45">
        <f t="shared" ref="F125:R125" ca="1" si="86">IF($F$60=1,F93/$F$112,"")</f>
        <v>2.9857215003801478</v>
      </c>
      <c r="G125" s="45">
        <f t="shared" ca="1" si="86"/>
        <v>1.2546687699923342</v>
      </c>
      <c r="H125" s="45">
        <f t="shared" ca="1" si="86"/>
        <v>0.55915868857778495</v>
      </c>
      <c r="I125" s="45">
        <f t="shared" ca="1" si="86"/>
        <v>0.17475043662100218</v>
      </c>
      <c r="J125" s="45">
        <f t="shared" ca="1" si="86"/>
        <v>0.11695463810098353</v>
      </c>
      <c r="K125" s="45">
        <f t="shared" ca="1" si="86"/>
        <v>0.11144201398961047</v>
      </c>
      <c r="L125" s="45">
        <f t="shared" ca="1" si="86"/>
        <v>0.10465602570105223</v>
      </c>
      <c r="M125" s="45">
        <f t="shared" ca="1" si="86"/>
        <v>0.10802361351747052</v>
      </c>
      <c r="N125" s="45">
        <f t="shared" ca="1" si="86"/>
        <v>0.180391655244972</v>
      </c>
      <c r="O125" s="45">
        <f t="shared" ca="1" si="86"/>
        <v>0.3629501049238506</v>
      </c>
      <c r="P125" s="45">
        <f t="shared" ca="1" si="86"/>
        <v>1.7219231369327348</v>
      </c>
      <c r="Q125" s="45">
        <f t="shared" ca="1" si="86"/>
        <v>2.9091277917505134</v>
      </c>
      <c r="R125" s="52">
        <f t="shared" ca="1" si="86"/>
        <v>10.589768375732456</v>
      </c>
    </row>
    <row r="126" spans="3:25" ht="18.75" x14ac:dyDescent="0.35">
      <c r="C126" t="s">
        <v>191</v>
      </c>
      <c r="D126" t="s">
        <v>210</v>
      </c>
      <c r="E126" t="s">
        <v>227</v>
      </c>
      <c r="F126" s="45">
        <f t="shared" ref="F126:R126" ca="1" si="87">IF($F$60=1,F94/$F$112,"")</f>
        <v>0.94032736173398002</v>
      </c>
      <c r="G126" s="45">
        <f t="shared" ca="1" si="87"/>
        <v>0.84932793963069153</v>
      </c>
      <c r="H126" s="45">
        <f t="shared" ca="1" si="87"/>
        <v>0.94032736173398002</v>
      </c>
      <c r="I126" s="45">
        <f t="shared" ca="1" si="87"/>
        <v>0.90999422103288374</v>
      </c>
      <c r="J126" s="45">
        <f t="shared" ca="1" si="87"/>
        <v>0.94032736173398002</v>
      </c>
      <c r="K126" s="45">
        <f t="shared" ca="1" si="87"/>
        <v>0.90999422103288374</v>
      </c>
      <c r="L126" s="45">
        <f t="shared" ca="1" si="87"/>
        <v>0.94032736173398002</v>
      </c>
      <c r="M126" s="45">
        <f t="shared" ca="1" si="87"/>
        <v>0.94032736173398002</v>
      </c>
      <c r="N126" s="45">
        <f t="shared" ca="1" si="87"/>
        <v>0.90999422103288374</v>
      </c>
      <c r="O126" s="45">
        <f t="shared" ca="1" si="87"/>
        <v>0.94032736173398002</v>
      </c>
      <c r="P126" s="45">
        <f t="shared" ca="1" si="87"/>
        <v>0.90999422103288374</v>
      </c>
      <c r="Q126" s="45">
        <f t="shared" ca="1" si="87"/>
        <v>0.94032736173398002</v>
      </c>
      <c r="R126" s="52">
        <f t="shared" ca="1" si="87"/>
        <v>11.071596355900084</v>
      </c>
    </row>
    <row r="127" spans="3:25" ht="18.75" x14ac:dyDescent="0.35">
      <c r="C127" t="s">
        <v>192</v>
      </c>
      <c r="D127" t="s">
        <v>209</v>
      </c>
      <c r="E127" t="s">
        <v>227</v>
      </c>
      <c r="F127" s="45">
        <f t="shared" ref="F127:R127" ca="1" si="88">IF($F$60=1,F95/$F$112,"")</f>
        <v>0.26227096622851004</v>
      </c>
      <c r="G127" s="45">
        <f t="shared" ca="1" si="88"/>
        <v>0.23688990498058976</v>
      </c>
      <c r="H127" s="45">
        <f t="shared" ca="1" si="88"/>
        <v>0.26227096622851004</v>
      </c>
      <c r="I127" s="45">
        <f t="shared" ca="1" si="88"/>
        <v>0.25381061247920328</v>
      </c>
      <c r="J127" s="45">
        <f t="shared" ca="1" si="88"/>
        <v>0.26227096622851004</v>
      </c>
      <c r="K127" s="45">
        <f t="shared" ca="1" si="88"/>
        <v>0.25381061247920328</v>
      </c>
      <c r="L127" s="45">
        <f t="shared" ca="1" si="88"/>
        <v>0.26227096622851004</v>
      </c>
      <c r="M127" s="45">
        <f t="shared" ca="1" si="88"/>
        <v>0.26227096622851004</v>
      </c>
      <c r="N127" s="45">
        <f t="shared" ca="1" si="88"/>
        <v>0.25381061247920328</v>
      </c>
      <c r="O127" s="45">
        <f t="shared" ca="1" si="88"/>
        <v>0.26227096622851004</v>
      </c>
      <c r="P127" s="45">
        <f t="shared" ca="1" si="88"/>
        <v>0.25381061247920328</v>
      </c>
      <c r="Q127" s="45">
        <f t="shared" ca="1" si="88"/>
        <v>0.26227096622851004</v>
      </c>
      <c r="R127" s="52">
        <f t="shared" ca="1" si="88"/>
        <v>3.0880291184969733</v>
      </c>
      <c r="X127" t="s">
        <v>196</v>
      </c>
      <c r="Y127" t="s">
        <v>197</v>
      </c>
    </row>
    <row r="128" spans="3:25" ht="18.75" x14ac:dyDescent="0.35">
      <c r="C128" t="s">
        <v>193</v>
      </c>
      <c r="D128" t="s">
        <v>208</v>
      </c>
      <c r="E128" t="s">
        <v>227</v>
      </c>
      <c r="F128" s="45">
        <f t="shared" ref="F128:R128" ca="1" si="89">IF($F$60=1,F96/$F$112,"")</f>
        <v>4.1883198283426379</v>
      </c>
      <c r="G128" s="45">
        <f t="shared" ca="1" si="89"/>
        <v>2.3408866146036158</v>
      </c>
      <c r="H128" s="45">
        <f t="shared" ca="1" si="89"/>
        <v>1.7617570165402749</v>
      </c>
      <c r="I128" s="45">
        <f t="shared" ca="1" si="89"/>
        <v>1.3385552701330892</v>
      </c>
      <c r="J128" s="45">
        <f t="shared" ca="1" si="89"/>
        <v>1.3195529660634737</v>
      </c>
      <c r="K128" s="45">
        <f t="shared" ca="1" si="89"/>
        <v>1.2752468475016976</v>
      </c>
      <c r="L128" s="45">
        <f t="shared" ca="1" si="89"/>
        <v>1.3072543536635424</v>
      </c>
      <c r="M128" s="45">
        <f t="shared" ca="1" si="89"/>
        <v>1.3106219414799607</v>
      </c>
      <c r="N128" s="45">
        <f t="shared" ca="1" si="89"/>
        <v>1.344196488757059</v>
      </c>
      <c r="O128" s="45">
        <f t="shared" ca="1" si="89"/>
        <v>1.5655484328863405</v>
      </c>
      <c r="P128" s="45">
        <f t="shared" ca="1" si="89"/>
        <v>2.885727970444822</v>
      </c>
      <c r="Q128" s="45">
        <f t="shared" ca="1" si="89"/>
        <v>4.1117261197130031</v>
      </c>
      <c r="R128" s="52">
        <f t="shared" ca="1" si="89"/>
        <v>24.749393850129518</v>
      </c>
      <c r="V128" s="68" t="str">
        <f ca="1">IF($F$60=1,V97,"")</f>
        <v>Net Zero</v>
      </c>
      <c r="X128">
        <v>0</v>
      </c>
      <c r="Y128" s="12">
        <f ca="1">Y129-F128</f>
        <v>3.9981186789973941</v>
      </c>
    </row>
    <row r="129" spans="3:25" ht="18.75" x14ac:dyDescent="0.35">
      <c r="C129" t="s">
        <v>137</v>
      </c>
      <c r="D129" t="s">
        <v>198</v>
      </c>
      <c r="E129" t="s">
        <v>227</v>
      </c>
      <c r="F129" s="45">
        <f t="shared" ref="F129:R129" ca="1" si="90">IF($F$60=1,F97/$F$112,"")</f>
        <v>1.739500462735595</v>
      </c>
      <c r="G129" s="45">
        <f t="shared" ca="1" si="90"/>
        <v>3.4409637682356209</v>
      </c>
      <c r="H129" s="45">
        <f t="shared" ca="1" si="90"/>
        <v>4.7578391341602728</v>
      </c>
      <c r="I129" s="45">
        <f t="shared" ca="1" si="90"/>
        <v>7.0249138809458822</v>
      </c>
      <c r="J129" s="45">
        <f t="shared" ca="1" si="90"/>
        <v>8.1864385073400321</v>
      </c>
      <c r="K129" s="45">
        <f t="shared" ca="1" si="90"/>
        <v>7.6169175105115006</v>
      </c>
      <c r="L129" s="45">
        <f t="shared" ca="1" si="90"/>
        <v>7.9089273013543577</v>
      </c>
      <c r="M129" s="45">
        <f t="shared" ca="1" si="90"/>
        <v>7.7305458649726422</v>
      </c>
      <c r="N129" s="45">
        <f t="shared" ca="1" si="90"/>
        <v>6.127779480484481</v>
      </c>
      <c r="O129" s="45">
        <f t="shared" ca="1" si="90"/>
        <v>4.0445356147185834</v>
      </c>
      <c r="P129" s="45">
        <f t="shared" ca="1" si="90"/>
        <v>1.9301990447359374</v>
      </c>
      <c r="Q129" s="45">
        <f t="shared" ca="1" si="90"/>
        <v>1.2537839031255875</v>
      </c>
      <c r="R129" s="52">
        <f t="shared" ref="R129:V129" ca="1" si="91">IF($F$60=1,R97/$F$112,"")</f>
        <v>61.762344473320496</v>
      </c>
      <c r="S129">
        <f t="shared" ca="1" si="91"/>
        <v>0</v>
      </c>
      <c r="T129">
        <f t="shared" ca="1" si="91"/>
        <v>0</v>
      </c>
      <c r="U129">
        <f t="shared" ca="1" si="91"/>
        <v>0</v>
      </c>
      <c r="V129" s="68"/>
      <c r="X129">
        <v>0</v>
      </c>
      <c r="Y129" s="12">
        <f ca="1">MAX($F$128:$Q$129,F133:Q134)</f>
        <v>8.1864385073400321</v>
      </c>
    </row>
    <row r="130" spans="3:25" ht="18.75" x14ac:dyDescent="0.35">
      <c r="C130" s="18"/>
      <c r="D130" s="39" t="s">
        <v>160</v>
      </c>
      <c r="E130" t="s">
        <v>227</v>
      </c>
      <c r="F130" s="53">
        <f t="shared" ref="F130:R130" ca="1" si="92">IF($F$60=1,F98/$F$112,"")</f>
        <v>2.4488193656070427</v>
      </c>
      <c r="G130" s="54">
        <f t="shared" ca="1" si="92"/>
        <v>-1.1000771536320053</v>
      </c>
      <c r="H130" s="54">
        <f t="shared" ca="1" si="92"/>
        <v>-2.9960821176199977</v>
      </c>
      <c r="I130" s="54">
        <f t="shared" ca="1" si="92"/>
        <v>-5.6863586108127926</v>
      </c>
      <c r="J130" s="54">
        <f t="shared" ca="1" si="92"/>
        <v>-6.8668855412765577</v>
      </c>
      <c r="K130" s="54">
        <f t="shared" ca="1" si="92"/>
        <v>-6.3416706630098032</v>
      </c>
      <c r="L130" s="54">
        <f t="shared" ca="1" si="92"/>
        <v>-6.6016729476908154</v>
      </c>
      <c r="M130" s="54">
        <f t="shared" ca="1" si="92"/>
        <v>-6.4199239234926821</v>
      </c>
      <c r="N130" s="54">
        <f t="shared" ca="1" si="92"/>
        <v>-4.783582991727422</v>
      </c>
      <c r="O130" s="54">
        <f t="shared" ca="1" si="92"/>
        <v>-2.4789871818322422</v>
      </c>
      <c r="P130" s="54">
        <f t="shared" ca="1" si="92"/>
        <v>0.9555289257088847</v>
      </c>
      <c r="Q130" s="54">
        <f t="shared" ca="1" si="92"/>
        <v>2.8579422165874155</v>
      </c>
      <c r="R130" s="57">
        <f t="shared" ca="1" si="92"/>
        <v>-37.012950623190974</v>
      </c>
      <c r="V130" s="67"/>
    </row>
    <row r="131" spans="3:25" x14ac:dyDescent="0.25">
      <c r="C131" s="18"/>
      <c r="D131" s="39" t="s">
        <v>161</v>
      </c>
      <c r="E131" s="39"/>
      <c r="F131" s="48">
        <f t="shared" ref="F131:R131" ca="1" si="93">IF($F$60=1,F99,"")</f>
        <v>1.4077716091871282</v>
      </c>
      <c r="G131" s="48">
        <f t="shared" ca="1" si="93"/>
        <v>-0.31970030134786276</v>
      </c>
      <c r="H131" s="48">
        <f t="shared" ca="1" si="93"/>
        <v>-0.62971488382378582</v>
      </c>
      <c r="I131" s="48">
        <f t="shared" ca="1" si="93"/>
        <v>-0.80945598866859603</v>
      </c>
      <c r="J131" s="48">
        <f t="shared" ca="1" si="93"/>
        <v>-0.83881232786634241</v>
      </c>
      <c r="K131" s="48">
        <f t="shared" ca="1" si="93"/>
        <v>-0.83257704370018049</v>
      </c>
      <c r="L131" s="48">
        <f t="shared" ca="1" si="93"/>
        <v>-0.83471154761535327</v>
      </c>
      <c r="M131" s="48">
        <f t="shared" ca="1" si="93"/>
        <v>-0.83046191506107847</v>
      </c>
      <c r="N131" s="48">
        <f t="shared" ca="1" si="93"/>
        <v>-0.78063889325031932</v>
      </c>
      <c r="O131" s="48">
        <f t="shared" ca="1" si="93"/>
        <v>-0.61292257454994103</v>
      </c>
      <c r="P131" s="48">
        <f t="shared" ca="1" si="93"/>
        <v>0.49504165299159941</v>
      </c>
      <c r="Q131" s="48">
        <f t="shared" ca="1" si="93"/>
        <v>2.2794535880248454</v>
      </c>
      <c r="R131" s="58">
        <f t="shared" ca="1" si="93"/>
        <v>-0.59928020768673174</v>
      </c>
    </row>
    <row r="132" spans="3:25" x14ac:dyDescent="0.25">
      <c r="C132" s="59" t="s">
        <v>235</v>
      </c>
      <c r="E132" s="70">
        <v>0.45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3:25" ht="18.75" x14ac:dyDescent="0.35">
      <c r="C133" t="s">
        <v>229</v>
      </c>
      <c r="D133" t="s">
        <v>237</v>
      </c>
      <c r="E133" t="s">
        <v>227</v>
      </c>
      <c r="F133" s="20">
        <f t="shared" ref="F133:R133" ca="1" si="94">IF($F$60=1,F101/$F$112,"")</f>
        <v>0.84281665452201415</v>
      </c>
      <c r="G133" s="20">
        <f t="shared" ca="1" si="94"/>
        <v>0.7497786755168635</v>
      </c>
      <c r="H133" s="20">
        <f t="shared" ca="1" si="94"/>
        <v>0.76904286649298115</v>
      </c>
      <c r="I133" s="20">
        <f t="shared" ca="1" si="94"/>
        <v>0.60234987155989017</v>
      </c>
      <c r="J133" s="20">
        <f t="shared" ca="1" si="94"/>
        <v>0.5937988347285631</v>
      </c>
      <c r="K133" s="20">
        <f t="shared" ca="1" si="94"/>
        <v>0.57386108137576386</v>
      </c>
      <c r="L133" s="20">
        <f t="shared" ca="1" si="94"/>
        <v>0.58826445914859404</v>
      </c>
      <c r="M133" s="20">
        <f t="shared" ca="1" si="94"/>
        <v>0.58977987366598228</v>
      </c>
      <c r="N133" s="20">
        <f t="shared" ca="1" si="94"/>
        <v>0.60488841994067666</v>
      </c>
      <c r="O133" s="20">
        <f t="shared" ca="1" si="94"/>
        <v>0.7044967947988533</v>
      </c>
      <c r="P133" s="20">
        <f t="shared" ca="1" si="94"/>
        <v>0.79456790581849079</v>
      </c>
      <c r="Q133" s="20">
        <f t="shared" ca="1" si="94"/>
        <v>0.83674321679841224</v>
      </c>
      <c r="R133" s="51">
        <f t="shared" ca="1" si="94"/>
        <v>8.2503886543670841</v>
      </c>
    </row>
    <row r="134" spans="3:25" ht="18.75" x14ac:dyDescent="0.35">
      <c r="C134" t="s">
        <v>228</v>
      </c>
      <c r="D134" t="s">
        <v>232</v>
      </c>
      <c r="E134" t="s">
        <v>227</v>
      </c>
      <c r="F134" s="20">
        <f t="shared" ref="F134:R134" ca="1" si="95">IF($F$60=1,F102/$F$112,"")</f>
        <v>3.345503173820624</v>
      </c>
      <c r="G134" s="20">
        <f t="shared" ca="1" si="95"/>
        <v>1.5911079390867522</v>
      </c>
      <c r="H134" s="20">
        <f t="shared" ca="1" si="95"/>
        <v>0.99271415004729391</v>
      </c>
      <c r="I134" s="20">
        <f t="shared" ca="1" si="95"/>
        <v>0.736205398573199</v>
      </c>
      <c r="J134" s="20">
        <f t="shared" ca="1" si="95"/>
        <v>0.72575413133491051</v>
      </c>
      <c r="K134" s="20">
        <f t="shared" ca="1" si="95"/>
        <v>0.70138576612593362</v>
      </c>
      <c r="L134" s="20">
        <f t="shared" ca="1" si="95"/>
        <v>0.71898989451494821</v>
      </c>
      <c r="M134" s="20">
        <f t="shared" ca="1" si="95"/>
        <v>0.7208420678139783</v>
      </c>
      <c r="N134" s="20">
        <f t="shared" ca="1" si="95"/>
        <v>0.73930806881638245</v>
      </c>
      <c r="O134" s="20">
        <f t="shared" ca="1" si="95"/>
        <v>0.8610516380874873</v>
      </c>
      <c r="P134" s="20">
        <f t="shared" ca="1" si="95"/>
        <v>2.0911600646263317</v>
      </c>
      <c r="Q134" s="20">
        <f t="shared" ca="1" si="95"/>
        <v>3.2749829029145907</v>
      </c>
      <c r="R134" s="51">
        <f t="shared" ca="1" si="95"/>
        <v>16.499005195762432</v>
      </c>
    </row>
    <row r="135" spans="3:25" ht="18.75" x14ac:dyDescent="0.35">
      <c r="D135" t="s">
        <v>231</v>
      </c>
      <c r="E135" t="s">
        <v>227</v>
      </c>
      <c r="F135" s="45">
        <f t="shared" ref="F135:R135" ca="1" si="96">IF($F$60=1,F103/$F$112,"")</f>
        <v>1.739500462735595</v>
      </c>
      <c r="G135" s="45">
        <f t="shared" ca="1" si="96"/>
        <v>2.3408866146036158</v>
      </c>
      <c r="H135" s="45">
        <f t="shared" ca="1" si="96"/>
        <v>1.7617570165402749</v>
      </c>
      <c r="I135" s="45">
        <f t="shared" ca="1" si="96"/>
        <v>1.3385552701330892</v>
      </c>
      <c r="J135" s="45">
        <f t="shared" ca="1" si="96"/>
        <v>1.3195529660634737</v>
      </c>
      <c r="K135" s="45">
        <f t="shared" ca="1" si="96"/>
        <v>1.2752468475016976</v>
      </c>
      <c r="L135" s="45">
        <f t="shared" ca="1" si="96"/>
        <v>1.3072543536635424</v>
      </c>
      <c r="M135" s="45">
        <f t="shared" ca="1" si="96"/>
        <v>1.3106219414799607</v>
      </c>
      <c r="N135" s="45">
        <f t="shared" ca="1" si="96"/>
        <v>1.344196488757059</v>
      </c>
      <c r="O135" s="45">
        <f t="shared" ca="1" si="96"/>
        <v>1.5655484328863405</v>
      </c>
      <c r="P135" s="45">
        <f t="shared" ca="1" si="96"/>
        <v>1.9301990447359374</v>
      </c>
      <c r="Q135" s="45">
        <f t="shared" ca="1" si="96"/>
        <v>1.2537839031255875</v>
      </c>
      <c r="R135" s="52">
        <f t="shared" ca="1" si="96"/>
        <v>18.487103342226174</v>
      </c>
    </row>
    <row r="136" spans="3:25" ht="18.75" x14ac:dyDescent="0.35">
      <c r="D136" t="s">
        <v>233</v>
      </c>
      <c r="E136" t="s">
        <v>227</v>
      </c>
      <c r="F136" s="45">
        <f t="shared" ref="F136:R136" ca="1" si="97">IF($F$60=1,F104/$F$112,"")</f>
        <v>2.4488193656070427</v>
      </c>
      <c r="G136" s="45">
        <f t="shared" ca="1" si="97"/>
        <v>0</v>
      </c>
      <c r="H136" s="45">
        <f t="shared" ca="1" si="97"/>
        <v>0</v>
      </c>
      <c r="I136" s="45">
        <f t="shared" ca="1" si="97"/>
        <v>0</v>
      </c>
      <c r="J136" s="45">
        <f t="shared" ca="1" si="97"/>
        <v>0</v>
      </c>
      <c r="K136" s="45">
        <f t="shared" ca="1" si="97"/>
        <v>0</v>
      </c>
      <c r="L136" s="45">
        <f t="shared" ca="1" si="97"/>
        <v>0</v>
      </c>
      <c r="M136" s="45">
        <f t="shared" ca="1" si="97"/>
        <v>0</v>
      </c>
      <c r="N136" s="45">
        <f t="shared" ca="1" si="97"/>
        <v>0</v>
      </c>
      <c r="O136" s="45">
        <f t="shared" ca="1" si="97"/>
        <v>0</v>
      </c>
      <c r="P136" s="45">
        <f t="shared" ca="1" si="97"/>
        <v>0.9555289257088847</v>
      </c>
      <c r="Q136" s="45">
        <f t="shared" ca="1" si="97"/>
        <v>2.8579422165874155</v>
      </c>
      <c r="R136" s="52">
        <f t="shared" ca="1" si="97"/>
        <v>6.2622905079033426</v>
      </c>
    </row>
    <row r="137" spans="3:25" ht="21" x14ac:dyDescent="0.35">
      <c r="D137" s="17" t="s">
        <v>218</v>
      </c>
      <c r="V137" t="s">
        <v>197</v>
      </c>
    </row>
    <row r="138" spans="3:25" x14ac:dyDescent="0.25">
      <c r="C138" t="s">
        <v>215</v>
      </c>
      <c r="D138" t="s">
        <v>219</v>
      </c>
      <c r="F138" s="56">
        <f t="shared" ref="F138:R138" ca="1" si="98">IF($F$60=1,F106,"")</f>
        <v>0.48451648767978667</v>
      </c>
      <c r="G138" s="56">
        <f t="shared" ca="1" si="98"/>
        <v>0.21789786990443025</v>
      </c>
      <c r="H138" s="56">
        <f t="shared" ca="1" si="98"/>
        <v>0.16163700470060388</v>
      </c>
      <c r="I138" s="56">
        <f t="shared" ca="1" si="98"/>
        <v>8.5744805099131793E-2</v>
      </c>
      <c r="J138" s="56">
        <f t="shared" ca="1" si="98"/>
        <v>7.2534452460145879E-2</v>
      </c>
      <c r="K138" s="56">
        <f t="shared" ca="1" si="98"/>
        <v>7.5340330334918812E-2</v>
      </c>
      <c r="L138" s="56">
        <f t="shared" ca="1" si="98"/>
        <v>7.4379803573091027E-2</v>
      </c>
      <c r="M138" s="56">
        <f t="shared" ca="1" si="98"/>
        <v>7.6292138222514697E-2</v>
      </c>
      <c r="N138" s="56">
        <f t="shared" ca="1" si="98"/>
        <v>9.8712498037356322E-2</v>
      </c>
      <c r="O138" s="56">
        <f t="shared" ca="1" si="98"/>
        <v>0.17418484145252652</v>
      </c>
      <c r="P138" s="56">
        <f t="shared" ca="1" si="98"/>
        <v>0.41165076108883492</v>
      </c>
      <c r="Q138" s="56">
        <f ca="1">IF($F$60=1,Q106,"")</f>
        <v>0.66737434952903396</v>
      </c>
      <c r="R138" s="55">
        <f t="shared" ref="R138:V139" ca="1" si="99">IF($F$60=1,R106,"")</f>
        <v>0.13358282825437445</v>
      </c>
      <c r="S138">
        <f t="shared" ca="1" si="99"/>
        <v>0</v>
      </c>
      <c r="T138">
        <f t="shared" ca="1" si="99"/>
        <v>0</v>
      </c>
      <c r="U138">
        <f t="shared" ca="1" si="99"/>
        <v>0</v>
      </c>
      <c r="V138" s="49">
        <f t="shared" ca="1" si="99"/>
        <v>0.29932645044282696</v>
      </c>
    </row>
    <row r="139" spans="3:25" x14ac:dyDescent="0.25">
      <c r="C139" t="s">
        <v>204</v>
      </c>
      <c r="D139" t="s">
        <v>220</v>
      </c>
      <c r="F139" s="56">
        <f t="shared" ref="F139:R139" ca="1" si="100">IF($F$60=1,F107,"")</f>
        <v>0.20123025200191685</v>
      </c>
      <c r="G139" s="56">
        <f t="shared" ca="1" si="100"/>
        <v>0.32029687847304134</v>
      </c>
      <c r="H139" s="56">
        <f t="shared" ca="1" si="100"/>
        <v>0.43652039371650786</v>
      </c>
      <c r="I139" s="56">
        <f t="shared" ca="1" si="100"/>
        <v>0.45</v>
      </c>
      <c r="J139" s="56">
        <f t="shared" ca="1" si="100"/>
        <v>0.45</v>
      </c>
      <c r="K139" s="56">
        <f t="shared" ca="1" si="100"/>
        <v>0.44999999999999996</v>
      </c>
      <c r="L139" s="56">
        <f t="shared" ca="1" si="100"/>
        <v>0.45</v>
      </c>
      <c r="M139" s="56">
        <f t="shared" ca="1" si="100"/>
        <v>0.45</v>
      </c>
      <c r="N139" s="56">
        <f t="shared" ca="1" si="100"/>
        <v>0.45000000000000007</v>
      </c>
      <c r="O139" s="56">
        <f t="shared" ca="1" si="100"/>
        <v>0.45</v>
      </c>
      <c r="P139" s="56">
        <f t="shared" ca="1" si="100"/>
        <v>0.27534400815195748</v>
      </c>
      <c r="Q139" s="56">
        <f t="shared" ca="1" si="100"/>
        <v>0.20350169063712262</v>
      </c>
      <c r="R139" s="55">
        <f t="shared" ca="1" si="99"/>
        <v>0.3333572007592383</v>
      </c>
      <c r="S139">
        <f t="shared" ca="1" si="99"/>
        <v>0</v>
      </c>
      <c r="T139">
        <f t="shared" ca="1" si="99"/>
        <v>0</v>
      </c>
      <c r="U139">
        <f t="shared" ca="1" si="99"/>
        <v>0</v>
      </c>
      <c r="V139" s="49">
        <f t="shared" ca="1" si="99"/>
        <v>0.74697196441154168</v>
      </c>
    </row>
    <row r="140" spans="3:25" ht="21" x14ac:dyDescent="0.35">
      <c r="D140" s="17" t="s">
        <v>238</v>
      </c>
    </row>
    <row r="141" spans="3:25" x14ac:dyDescent="0.25">
      <c r="C141" t="s">
        <v>240</v>
      </c>
      <c r="D141" t="s">
        <v>242</v>
      </c>
      <c r="F141" s="70">
        <v>2.0099999999999998</v>
      </c>
      <c r="G141" s="70">
        <v>1.96</v>
      </c>
      <c r="H141" s="70">
        <v>1.89</v>
      </c>
      <c r="I141" s="70">
        <v>1.6</v>
      </c>
      <c r="J141" s="70">
        <v>1.33</v>
      </c>
      <c r="K141" s="70">
        <v>1.2</v>
      </c>
      <c r="L141" s="70">
        <v>1.18</v>
      </c>
      <c r="M141" s="70">
        <v>1.28</v>
      </c>
      <c r="N141" s="70">
        <v>1.53</v>
      </c>
      <c r="O141" s="70">
        <v>1.78</v>
      </c>
      <c r="P141" s="70">
        <v>1.92</v>
      </c>
      <c r="Q141" s="70">
        <v>2.0099999999999998</v>
      </c>
    </row>
    <row r="142" spans="3:25" ht="18.75" x14ac:dyDescent="0.35">
      <c r="C142" t="s">
        <v>241</v>
      </c>
      <c r="D142" t="s">
        <v>239</v>
      </c>
      <c r="E142" t="s">
        <v>227</v>
      </c>
      <c r="F142" s="71">
        <f t="shared" ref="F142:R142" ca="1" si="101">IF($F$60=1,F110/$F$112,"")</f>
        <v>6.7244613793794539</v>
      </c>
      <c r="G142" s="71">
        <f t="shared" ca="1" si="101"/>
        <v>3.1185715606100342</v>
      </c>
      <c r="H142" s="71">
        <f t="shared" ca="1" si="101"/>
        <v>1.8762297435893855</v>
      </c>
      <c r="I142" s="71">
        <f t="shared" ca="1" si="101"/>
        <v>1.1779286377171185</v>
      </c>
      <c r="J142" s="71">
        <f t="shared" ca="1" si="101"/>
        <v>0.96525299467543102</v>
      </c>
      <c r="K142" s="71">
        <f t="shared" ca="1" si="101"/>
        <v>0.84166291935112036</v>
      </c>
      <c r="L142" s="71">
        <f t="shared" ca="1" si="101"/>
        <v>0.84840807552763886</v>
      </c>
      <c r="M142" s="71">
        <f t="shared" ca="1" si="101"/>
        <v>0.92267784680189235</v>
      </c>
      <c r="N142" s="71">
        <f t="shared" ca="1" si="101"/>
        <v>1.1311413452890651</v>
      </c>
      <c r="O142" s="71">
        <f t="shared" ca="1" si="101"/>
        <v>1.5326719157957276</v>
      </c>
      <c r="P142" s="71">
        <f t="shared" ca="1" si="101"/>
        <v>4.0150273240825562</v>
      </c>
      <c r="Q142" s="71">
        <f t="shared" ca="1" si="101"/>
        <v>6.5827156348583271</v>
      </c>
      <c r="R142" s="52">
        <f t="shared" ca="1" si="101"/>
        <v>29.73674937767775</v>
      </c>
    </row>
  </sheetData>
  <mergeCells count="5">
    <mergeCell ref="M3:Q3"/>
    <mergeCell ref="A63:A64"/>
    <mergeCell ref="V128:V129"/>
    <mergeCell ref="E2:K2"/>
    <mergeCell ref="E3:K3"/>
  </mergeCells>
  <dataValidations disablePrompts="1" count="2">
    <dataValidation type="list" showInputMessage="1" showErrorMessage="1" sqref="E4">
      <formula1>PHPP_language</formula1>
    </dataValidation>
    <dataValidation type="list" allowBlank="1" showInputMessage="1" showErrorMessage="1" sqref="B70:B72">
      <formula1>user_theta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PV_HP_self</vt:lpstr>
      <vt:lpstr>PHPP_language</vt:lpstr>
      <vt:lpstr>user_theta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2020-04-30T10:33:55Z</dcterms:modified>
</cp:coreProperties>
</file>